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tabRatio="89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<sst xmlns="http://schemas.openxmlformats.org/spreadsheetml/2006/main" count="4306" uniqueCount="1002">
  <si>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</si>
  <si>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</si>
  <si>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</si>
  <si>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</si>
  <si>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</si>
  <si>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</si>
  <si>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</si>
  <si>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</si>
  <si>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</si>
  <si>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</si>
  <si>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</si>
  <si>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</si>
  <si>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</si>
  <si>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</si>
  <si>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</si>
  <si>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</si>
  <si>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</si>
  <si>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</si>
  <si>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</si>
  <si>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</si>
  <si>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</si>
  <si>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</si>
  <si>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</si>
  <si>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</si>
  <si>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</si>
  <si>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</si>
  <si>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</si>
  <si>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</si>
  <si>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</si>
  <si>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</si>
  <si>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</si>
  <si>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</si>
  <si>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</si>
  <si>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</si>
  <si>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</si>
  <si>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</si>
  <si>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</si>
  <si>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</si>
  <si>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</si>
  <si>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</si>
  <si>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</si>
  <si>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</si>
  <si>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</si>
  <si>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</si>
  <si>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</si>
  <si>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</si>
  <si>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</si>
  <si>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</si>
  <si>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</si>
  <si>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</si>
  <si>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</si>
  <si>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</si>
  <si>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</si>
  <si>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</si>
  <si>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</si>
  <si>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</si>
  <si>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</si>
  <si>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</si>
  <si>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</si>
  <si>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</si>
  <si>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</si>
  <si>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</si>
  <si>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</si>
  <si>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</si>
  <si>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</si>
  <si>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</si>
  <si>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</si>
  <si>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</si>
  <si>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</si>
  <si>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</si>
  <si>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</si>
  <si>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</si>
  <si>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</si>
  <si>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</si>
  <si>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</si>
  <si>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</si>
  <si>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</si>
  <si>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</si>
  <si>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</si>
  <si>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</si>
  <si>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</si>
  <si>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</si>
  <si>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</si>
  <si>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</si>
  <si>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</si>
  <si>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</si>
  <si>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</si>
  <si>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</si>
  <si>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</si>
  <si>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</si>
  <si>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</si>
  <si>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</si>
  <si>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</si>
  <si>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</si>
  <si>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</si>
  <si>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</si>
  <si>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</si>
  <si>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</si>
  <si>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</si>
  <si>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</si>
  <si>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</si>
  <si>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</si>
  <si>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</si>
  <si>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</si>
  <si>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</si>
  <si>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</si>
  <si>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</si>
  <si>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</si>
  <si>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</si>
  <si>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</si>
  <si>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</si>
  <si>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</si>
  <si>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</si>
  <si>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</si>
  <si>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</si>
  <si>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</si>
  <si>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</si>
  <si>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</si>
  <si>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</si>
  <si>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</si>
  <si>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</si>
  <si>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</si>
  <si>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</si>
  <si>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</si>
  <si>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</si>
  <si>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</si>
  <si>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</si>
  <si>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</si>
  <si>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</si>
  <si>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</si>
  <si>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</si>
  <si>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</si>
  <si>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</si>
  <si>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</si>
  <si>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</si>
  <si>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</si>
  <si>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</si>
  <si>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</si>
  <si>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</si>
  <si>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</si>
  <si>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</si>
  <si>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</si>
  <si>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</si>
  <si>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</si>
  <si>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</si>
  <si>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</si>
  <si>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</si>
  <si>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</si>
  <si>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</si>
  <si>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</si>
  <si>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</si>
  <si>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</si>
  <si>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</si>
  <si>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</si>
  <si>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</si>
  <si>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</si>
  <si>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</si>
  <si>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</si>
  <si>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</si>
  <si>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</si>
  <si>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</si>
  <si>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</si>
  <si>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</si>
  <si>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</si>
  <si>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</si>
  <si>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</si>
  <si>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</si>
  <si>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</si>
  <si>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</si>
  <si>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</si>
  <si>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</si>
  <si>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</si>
  <si>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</si>
  <si>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</si>
  <si>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</si>
  <si>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</si>
  <si>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</si>
  <si>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</si>
  <si>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</si>
  <si>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</si>
  <si>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</si>
  <si>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</si>
  <si>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</si>
  <si>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</si>
  <si>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</si>
  <si>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</si>
  <si>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</si>
  <si>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</si>
  <si>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</si>
  <si>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</si>
  <si>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</si>
  <si>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</si>
  <si>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</si>
  <si>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</si>
  <si>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</si>
  <si>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</si>
  <si>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</si>
  <si>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</si>
  <si>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</si>
  <si>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</si>
  <si>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</si>
  <si>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</si>
  <si>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</si>
  <si>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</si>
  <si>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</si>
  <si>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</si>
  <si>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</si>
  <si>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</si>
  <si>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</si>
  <si>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</si>
  <si>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</si>
  <si>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</si>
  <si>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</si>
  <si>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</si>
  <si>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</si>
  <si>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</si>
  <si>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</si>
  <si>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</si>
  <si>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</si>
  <si>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</si>
  <si>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</si>
  <si>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</si>
  <si>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</si>
  <si>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</si>
  <si>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</si>
  <si>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</si>
  <si>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</si>
  <si>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</si>
  <si>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</si>
  <si>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</si>
  <si>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</si>
  <si>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</si>
  <si>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</si>
  <si>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</si>
  <si>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</si>
  <si>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</si>
  <si>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</si>
  <si>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</si>
  <si>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</si>
  <si>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</si>
  <si>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</si>
  <si>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</si>
  <si>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</si>
  <si>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</si>
  <si>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</si>
  <si>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</si>
  <si>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</si>
  <si>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</si>
  <si>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</si>
  <si>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</si>
  <si>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</si>
  <si>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</si>
  <si>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</si>
  <si>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</si>
  <si>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</si>
  <si>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</si>
  <si>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</si>
  <si>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</si>
  <si>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</si>
  <si>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</si>
  <si>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</si>
  <si>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</si>
  <si>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</si>
  <si>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</si>
  <si>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</si>
  <si>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</si>
  <si>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</si>
  <si>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</si>
  <si>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</si>
  <si>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</si>
  <si>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</si>
  <si>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</si>
  <si>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</si>
  <si>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</si>
  <si>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</si>
  <si>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</si>
  <si>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</si>
  <si>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</si>
  <si>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</si>
  <si>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</si>
  <si>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</si>
  <si>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</si>
  <si>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</si>
  <si>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</si>
  <si>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</si>
  <si>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</si>
  <si>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</si>
  <si>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</si>
  <si>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</si>
  <si>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</si>
  <si>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</si>
  <si>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</si>
  <si>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</si>
  <si>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</si>
  <si>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</si>
  <si>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</si>
  <si>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</si>
  <si>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</si>
  <si>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</si>
  <si>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</si>
  <si>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</si>
  <si>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</si>
  <si>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</si>
  <si>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</si>
  <si>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</si>
  <si>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</si>
  <si>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</si>
  <si>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</si>
  <si>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</si>
  <si>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</si>
  <si>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</si>
  <si>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</si>
  <si>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</si>
  <si>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</si>
  <si>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</si>
  <si>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</si>
  <si>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</si>
  <si>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</si>
  <si>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</si>
  <si>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</si>
  <si>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</si>
  <si>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</si>
  <si>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</si>
  <si>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</si>
  <si>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</si>
  <si>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</si>
  <si>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</si>
  <si>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</si>
  <si>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</si>
  <si>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</si>
  <si>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</si>
  <si>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</si>
  <si>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</si>
  <si>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</si>
  <si>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</si>
  <si>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</si>
  <si>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</si>
  <si>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</si>
  <si>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</si>
  <si>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</si>
  <si>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</si>
  <si>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</si>
  <si>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</si>
  <si>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</si>
  <si>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</si>
  <si>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</si>
  <si>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</si>
  <si>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</si>
  <si>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</si>
  <si>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</si>
  <si>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</si>
  <si>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</si>
  <si>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</si>
  <si>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</si>
  <si>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</si>
  <si>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</si>
  <si>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</si>
  <si>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</si>
  <si>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</si>
  <si>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</si>
  <si>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</si>
  <si>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</si>
  <si>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</si>
  <si>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</si>
  <si>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</si>
  <si>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</si>
  <si>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</si>
  <si>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</si>
  <si>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</si>
  <si>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</si>
  <si>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</si>
  <si>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</si>
  <si>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</si>
  <si>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</si>
  <si>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</si>
  <si>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</si>
  <si>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</si>
  <si>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</si>
  <si>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</si>
  <si>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</si>
  <si>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</si>
  <si>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</si>
  <si>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</si>
  <si>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</si>
  <si>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</si>
  <si>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</si>
  <si>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</si>
  <si>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</si>
  <si>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</si>
  <si>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</si>
  <si>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</si>
  <si>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</si>
  <si>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</si>
  <si>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</si>
  <si>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</si>
  <si>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</si>
  <si>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</si>
  <si>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</si>
  <si>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</si>
  <si>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</si>
  <si>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</si>
  <si>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</si>
  <si>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</si>
  <si>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</si>
  <si>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</si>
  <si>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</si>
  <si>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</si>
  <si>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</si>
  <si>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</si>
  <si>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</si>
  <si>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</si>
  <si>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</si>
  <si>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</si>
  <si>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</si>
  <si>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</si>
  <si>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</si>
  <si>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</si>
  <si>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</si>
  <si>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</si>
  <si>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</si>
  <si>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</si>
  <si>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</si>
  <si>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</si>
  <si>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</si>
  <si>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</si>
  <si>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</si>
  <si>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</si>
  <si>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</si>
  <si>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</si>
  <si>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</si>
  <si>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</si>
  <si>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</si>
  <si>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</si>
  <si>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</si>
  <si>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</si>
  <si>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</si>
  <si>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</si>
  <si>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</si>
  <si>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</si>
  <si>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</si>
  <si>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</si>
  <si>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</si>
  <si>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</si>
  <si>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</si>
  <si>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</si>
  <si>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</si>
  <si>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</si>
  <si>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</si>
  <si>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</si>
  <si>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</si>
  <si>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</si>
  <si>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</si>
  <si>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</si>
  <si>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</si>
  <si>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</si>
  <si>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</si>
  <si>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</si>
  <si>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</si>
  <si>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</si>
  <si>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</si>
  <si>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</si>
  <si>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</si>
  <si>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</si>
  <si>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</si>
  <si>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</si>
  <si>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</si>
  <si>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</si>
  <si>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</si>
  <si>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</si>
  <si>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</si>
  <si>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</si>
  <si>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</si>
  <si>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</si>
  <si>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</si>
  <si>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</si>
  <si>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</si>
  <si>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</si>
  <si>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</si>
  <si>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</si>
  <si>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</si>
  <si>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</si>
  <si>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</si>
  <si>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</si>
  <si>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</si>
  <si>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</si>
  <si>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</si>
  <si>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</si>
  <si>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</si>
  <si>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</si>
  <si>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</si>
  <si>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</si>
  <si>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</si>
  <si>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</si>
  <si>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</si>
  <si>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</si>
  <si>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</si>
  <si>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</si>
  <si>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</si>
  <si>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</si>
  <si>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</si>
  <si>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</si>
  <si>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</si>
  <si>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</si>
  <si>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</si>
  <si>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</si>
  <si>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</si>
  <si>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</si>
  <si>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</si>
  <si>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</si>
  <si>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</si>
  <si>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</si>
  <si>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</si>
  <si>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</si>
  <si>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</si>
  <si>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</si>
  <si>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</si>
  <si>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</si>
  <si>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</si>
  <si>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</si>
  <si>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</si>
  <si>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</si>
  <si>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</si>
  <si>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</si>
  <si>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</si>
  <si>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</si>
  <si>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</si>
  <si>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</si>
  <si>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</si>
  <si>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</si>
  <si>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</si>
  <si>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</si>
  <si>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</si>
  <si>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</si>
  <si>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</si>
  <si>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</si>
  <si>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</si>
  <si>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</si>
  <si>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</si>
  <si>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</si>
  <si>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</si>
  <si>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</si>
  <si>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</si>
  <si>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</si>
  <si>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</si>
  <si>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</si>
  <si>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</si>
  <si>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</si>
  <si>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</si>
  <si>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</si>
  <si>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</si>
  <si>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</si>
  <si>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</si>
  <si>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</si>
  <si>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</si>
  <si>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</si>
  <si>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</si>
  <si>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</si>
  <si>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</si>
  <si>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</si>
  <si>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</si>
  <si>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</si>
  <si>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</si>
  <si>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</si>
  <si>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</si>
  <si>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</si>
  <si>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</si>
  <si>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</si>
  <si>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</si>
  <si>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</si>
  <si>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</si>
  <si>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</si>
  <si>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</si>
  <si>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</si>
  <si>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</si>
  <si>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</si>
  <si>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</si>
  <si>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</si>
  <si>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</si>
  <si>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</si>
  <si>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</si>
  <si>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</si>
  <si>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</si>
  <si>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</si>
  <si>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</si>
  <si>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</si>
  <si>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</si>
  <si>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</si>
  <si>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</si>
  <si>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</si>
  <si>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</si>
  <si>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</si>
  <si>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</si>
  <si>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</si>
  <si>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</si>
  <si>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</si>
  <si>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</si>
  <si>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</si>
  <si>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</si>
  <si>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</si>
  <si>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</si>
  <si>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</si>
  <si>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</si>
  <si>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</si>
  <si>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</si>
  <si>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</si>
  <si>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</si>
  <si>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</si>
  <si>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</si>
  <si>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</si>
  <si>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</si>
  <si>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</si>
  <si>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</si>
  <si>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</si>
  <si>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</si>
  <si>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</si>
  <si>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</si>
  <si>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</si>
  <si>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</si>
  <si>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</si>
  <si>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</si>
  <si>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</si>
  <si>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</si>
  <si>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</si>
  <si>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</si>
  <si>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</si>
  <si>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</si>
  <si>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</si>
  <si>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</si>
  <si>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</si>
  <si>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</si>
  <si>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</si>
  <si>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</si>
  <si>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</si>
  <si>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</si>
  <si>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</si>
  <si>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</si>
  <si>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</si>
  <si>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</si>
  <si>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</si>
  <si>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</si>
  <si>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</si>
  <si>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</si>
  <si>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</si>
  <si>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</si>
  <si>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</si>
  <si>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</si>
  <si>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</si>
  <si>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</si>
  <si>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</si>
  <si>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</si>
  <si>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</si>
  <si>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</si>
  <si>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</si>
  <si>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</si>
  <si>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</si>
  <si>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</si>
  <si>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</si>
  <si>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</si>
  <si>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</si>
  <si>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</si>
  <si>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</si>
  <si>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</si>
  <si>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</si>
  <si>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</si>
  <si>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</si>
  <si>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</si>
  <si>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</si>
  <si>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</si>
  <si>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</si>
  <si>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</si>
  <si>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</si>
  <si>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</si>
  <si>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</si>
  <si>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</si>
  <si>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</si>
  <si>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</si>
  <si>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</si>
  <si>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</si>
  <si>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</si>
  <si>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</si>
  <si>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</si>
  <si>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</si>
  <si>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</si>
  <si>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</si>
  <si>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</si>
  <si>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</si>
  <si>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</si>
  <si>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</si>
  <si>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</si>
  <si>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</si>
  <si>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</si>
  <si>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</si>
  <si>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</si>
  <si>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</si>
  <si>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</si>
  <si>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</si>
  <si>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</si>
  <si>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</si>
  <si>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</si>
  <si>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</si>
  <si>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</si>
  <si>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</si>
  <si>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</si>
  <si>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</si>
  <si>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</si>
  <si>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</si>
  <si>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</si>
  <si>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</si>
  <si>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</si>
  <si>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</si>
  <si>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</si>
  <si>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</si>
  <si>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</si>
  <si>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</si>
  <si>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</si>
  <si>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</si>
  <si>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</si>
  <si>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</si>
  <si>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</si>
  <si>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</si>
  <si>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</si>
  <si>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</si>
  <si>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</si>
  <si>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</si>
  <si>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</si>
  <si>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</si>
  <si>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</si>
  <si>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</si>
  <si>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</si>
  <si>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</si>
  <si>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</si>
  <si>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</si>
  <si>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</si>
  <si>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</si>
  <si>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</si>
  <si>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</si>
  <si>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</si>
  <si>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</si>
  <si>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</si>
  <si>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</si>
  <si>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</si>
  <si>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</si>
  <si>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</si>
  <si>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</si>
  <si>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</si>
  <si>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</si>
  <si>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</si>
  <si>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</si>
  <si>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</si>
  <si>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</si>
  <si>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</si>
  <si>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</si>
  <si>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</si>
  <si>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</si>
  <si>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</si>
  <si>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</si>
  <si>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</si>
  <si>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</si>
  <si>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</si>
  <si>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</si>
  <si>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</si>
  <si>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</si>
  <si>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</si>
  <si>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</si>
  <si>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</si>
  <si>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</si>
  <si>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</si>
  <si>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</si>
  <si>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</si>
  <si>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</si>
  <si>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</si>
  <si>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</si>
  <si>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</si>
  <si>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</si>
  <si>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</si>
  <si>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</si>
  <si>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</si>
  <si>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</si>
  <si>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</si>
  <si>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</si>
  <si>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</si>
  <si>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</si>
  <si>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</si>
  <si>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</si>
  <si>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</si>
  <si>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</si>
  <si>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</si>
  <si>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</si>
  <si>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</si>
  <si>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</si>
  <si>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</si>
  <si>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</si>
  <si>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</si>
  <si>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</si>
  <si>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</si>
  <si>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</si>
  <si>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</si>
  <si>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</si>
  <si>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</si>
  <si>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</si>
  <si>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</si>
  <si>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</si>
  <si>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</si>
  <si>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</si>
  <si>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</si>
  <si>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</si>
  <si>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</si>
  <si>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</si>
  <si>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</si>
  <si>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</si>
  <si>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</si>
  <si>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</si>
  <si>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</si>
  <si>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</si>
  <si>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</si>
  <si>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</si>
  <si>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</si>
  <si>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</si>
  <si>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</si>
  <si>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</si>
  <si>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</si>
  <si>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</si>
  <si>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</si>
  <si>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</si>
  <si>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</si>
  <si>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</si>
  <si>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</si>
  <si>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</si>
  <si>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</si>
  <si>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</si>
  <si>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</si>
  <si>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</si>
  <si>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</si>
  <si>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</si>
  <si>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</si>
  <si>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</si>
  <si>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</si>
  <si>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</si>
  <si>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</si>
  <si>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</si>
  <si>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</si>
  <si>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</si>
  <si>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</si>
  <si>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</si>
  <si>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</si>
  <si>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</si>
  <si>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</si>
  <si>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</si>
  <si>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</si>
  <si>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</si>
  <si>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</si>
  <si>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</si>
  <si>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</si>
  <si>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</si>
  <si>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</si>
  <si>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</si>
  <si>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</si>
  <si>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</si>
  <si>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</si>
  <si>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</si>
  <si>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</si>
  <si>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</si>
  <si>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</si>
  <si>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</si>
  <si>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</si>
  <si>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</si>
  <si>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</si>
  <si>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</si>
  <si>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</si>
  <si>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</si>
  <si>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</si>
  <si>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</si>
  <si>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</si>
  <si>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</si>
  <si>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</si>
  <si>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</si>
  <si>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</si>
  <si>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</si>
  <si>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</si>
  <si>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</si>
  <si>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</si>
  <si>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</si>
  <si>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</si>
  <si>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</si>
  <si>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</si>
  <si>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</si>
  <si>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</si>
  <si>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</si>
  <si>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</si>
  <si>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</si>
  <si>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</si>
  <si>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</si>
  <si>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</si>
  <si>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</si>
  <si>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</si>
  <si>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</si>
  <si>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</si>
  <si>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</si>
  <si>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</si>
  <si>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</si>
  <si>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</si>
  <si>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</si>
  <si>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</si>
  <si>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</si>
  <si>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</si>
  <si>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</si>
  <si>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</si>
  <si>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</si>
  <si>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</si>
  <si>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</si>
  <si>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</si>
  <si>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</si>
  <si>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</si>
  <si>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</si>
  <si>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</si>
  <si>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</si>
  <si>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</si>
  <si>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</si>
  <si>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</si>
  <si>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</si>
  <si>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</si>
  <si>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</si>
  <si>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</si>
  <si>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</si>
  <si>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</si>
  <si>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</si>
  <si>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</si>
  <si>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</si>
  <si>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</si>
  <si>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</si>
  <si>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</si>
  <si>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</si>
  <si>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</si>
  <si>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</si>
  <si>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</si>
  <si>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</si>
  <si>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</si>
  <si>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</si>
  <si>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</si>
  <si>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</si>
  <si>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</si>
  <si>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</si>
  <si>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</si>
  <si>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</si>
  <si>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</si>
  <si>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</si>
  <si>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</si>
  <si>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</si>
  <si>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</si>
  <si>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</si>
  <si>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</si>
  <si>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</si>
  <si>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</si>
  <si>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</si>
  <si>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</si>
  <si>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</si>
  <si>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</si>
  <si>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</si>
  <si>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</si>
  <si>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</si>
  <si>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</si>
  <si>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</si>
  <si>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</si>
  <si>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</si>
  <si>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</si>
  <si>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</si>
  <si>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</si>
  <si>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</si>
  <si>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</si>
  <si>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</si>
  <si>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</si>
  <si>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</si>
  <si>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</si>
  <si>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</si>
  <si>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</si>
  <si>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</si>
  <si>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</si>
  <si>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</si>
  <si>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</si>
  <si>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</si>
  <si>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</si>
  <si>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</si>
  <si>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</si>
  <si>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</si>
  <si>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</si>
  <si>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</si>
  <si>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</si>
  <si>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</si>
  <si>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</si>
  <si>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</si>
  <si>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</si>
  <si>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</si>
  <si>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</si>
  <si>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</si>
  <si>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</si>
  <si>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</si>
  <si>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</si>
  <si>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</si>
  <si>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</si>
  <si>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</si>
  <si>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</si>
  <si>
    <t>гр. София, бул. Цар Борис III №159, ет.2 и 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</si>
</sst>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8\KFN\FO_SV_2018_sepat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0\Trial%20Balance_Y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0\KFN\SEPARATE\FO_SV_2020_sepata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0\SEPARATE\FO_SV_2020_06_sepata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1\Trial%20Balance_Y202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Poli\Cash%20Flow%202021\1221\Final\CF_12_2021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73">
          <cell r="C73">
            <v>0</v>
          </cell>
        </row>
      </sheetData>
      <sheetData sheetId="2">
        <row r="45">
          <cell r="C45">
            <v>206250</v>
          </cell>
          <cell r="G45">
            <v>206250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20_Dec"/>
      <sheetName val="PPE note IFRS16"/>
      <sheetName val="IA note"/>
      <sheetName val="50"/>
      <sheetName val="406"/>
      <sheetName val="416"/>
      <sheetName val="49912"/>
      <sheetName val="49911,111,41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92"/>
      <sheetName val="401"/>
      <sheetName val="70903"/>
      <sheetName val="ISPA"/>
      <sheetName val="Trial Balance_Y2020"/>
    </sheetNames>
    <sheetDataSet>
      <sheetData sheetId="6">
        <row r="11">
          <cell r="W11">
            <v>5</v>
          </cell>
        </row>
      </sheetData>
      <sheetData sheetId="21">
        <row r="27">
          <cell r="F27">
            <v>1454768.24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4071</v>
          </cell>
          <cell r="G13">
            <v>8884</v>
          </cell>
        </row>
        <row r="14">
          <cell r="C14">
            <v>8889.068059999998</v>
          </cell>
        </row>
        <row r="15">
          <cell r="C15">
            <v>0</v>
          </cell>
        </row>
        <row r="16">
          <cell r="C16">
            <v>6892.24072</v>
          </cell>
        </row>
        <row r="17">
          <cell r="C17">
            <v>0</v>
          </cell>
        </row>
        <row r="18">
          <cell r="C18">
            <v>32.68684999999914</v>
          </cell>
        </row>
        <row r="19">
          <cell r="C19">
            <v>709</v>
          </cell>
        </row>
        <row r="21">
          <cell r="G21">
            <v>-550</v>
          </cell>
        </row>
        <row r="23">
          <cell r="G23">
            <v>10774</v>
          </cell>
        </row>
        <row r="25">
          <cell r="C25">
            <v>5942.933130000001</v>
          </cell>
        </row>
        <row r="26">
          <cell r="C26">
            <v>2.526160000004893</v>
          </cell>
        </row>
        <row r="27">
          <cell r="C27">
            <v>262297.79884000006</v>
          </cell>
        </row>
        <row r="29">
          <cell r="G29">
            <v>274868.41345</v>
          </cell>
        </row>
        <row r="32">
          <cell r="G32">
            <v>34540</v>
          </cell>
        </row>
        <row r="36">
          <cell r="C36">
            <v>5</v>
          </cell>
        </row>
        <row r="45">
          <cell r="G45">
            <v>10253</v>
          </cell>
        </row>
        <row r="49">
          <cell r="G49">
            <v>8576</v>
          </cell>
        </row>
        <row r="51">
          <cell r="C51">
            <v>155.44086999999965</v>
          </cell>
        </row>
        <row r="55">
          <cell r="C55">
            <v>9763</v>
          </cell>
        </row>
        <row r="59">
          <cell r="C59">
            <v>3359</v>
          </cell>
          <cell r="G59">
            <v>16726</v>
          </cell>
        </row>
        <row r="62">
          <cell r="G62">
            <v>3186</v>
          </cell>
        </row>
        <row r="64">
          <cell r="G64">
            <v>30906</v>
          </cell>
        </row>
        <row r="66">
          <cell r="G66">
            <v>7173</v>
          </cell>
        </row>
        <row r="67">
          <cell r="G67">
            <v>1045</v>
          </cell>
        </row>
        <row r="68">
          <cell r="C68">
            <v>107</v>
          </cell>
          <cell r="G68">
            <v>3785</v>
          </cell>
        </row>
        <row r="69">
          <cell r="C69">
            <v>44792</v>
          </cell>
          <cell r="G69">
            <v>4412</v>
          </cell>
        </row>
        <row r="70">
          <cell r="G70">
            <v>3163</v>
          </cell>
        </row>
        <row r="88">
          <cell r="C88">
            <v>61</v>
          </cell>
        </row>
        <row r="89">
          <cell r="C89">
            <v>70476.76824</v>
          </cell>
        </row>
        <row r="95">
          <cell r="C95">
            <v>417741.4628700001</v>
          </cell>
          <cell r="G95">
            <v>417741.41345</v>
          </cell>
        </row>
      </sheetData>
      <sheetData sheetId="2">
        <row r="12">
          <cell r="C12">
            <v>13499</v>
          </cell>
        </row>
        <row r="13">
          <cell r="C13">
            <v>41483</v>
          </cell>
        </row>
        <row r="14">
          <cell r="C14">
            <v>56956</v>
          </cell>
          <cell r="G14">
            <v>184680</v>
          </cell>
        </row>
        <row r="15">
          <cell r="C15">
            <v>29326</v>
          </cell>
          <cell r="G15">
            <v>20210</v>
          </cell>
        </row>
        <row r="16">
          <cell r="C16">
            <v>7543</v>
          </cell>
        </row>
        <row r="19">
          <cell r="C19">
            <v>16214</v>
          </cell>
        </row>
        <row r="20">
          <cell r="C20">
            <v>10218</v>
          </cell>
        </row>
        <row r="21">
          <cell r="C21">
            <v>600.7490600000001</v>
          </cell>
        </row>
        <row r="22">
          <cell r="G22">
            <v>2</v>
          </cell>
        </row>
        <row r="25">
          <cell r="C25">
            <v>724</v>
          </cell>
          <cell r="G25">
            <v>2</v>
          </cell>
        </row>
        <row r="27">
          <cell r="C27">
            <v>262</v>
          </cell>
        </row>
        <row r="28">
          <cell r="C28">
            <v>12.3177</v>
          </cell>
        </row>
        <row r="39">
          <cell r="C39">
            <v>5192</v>
          </cell>
        </row>
        <row r="40">
          <cell r="C40">
            <v>-857</v>
          </cell>
        </row>
      </sheetData>
      <sheetData sheetId="3">
        <row r="11">
          <cell r="C11">
            <v>214667.23880000002</v>
          </cell>
        </row>
        <row r="14">
          <cell r="C14">
            <v>-35517.96414999999</v>
          </cell>
        </row>
        <row r="15">
          <cell r="C15">
            <v>-22085.55806</v>
          </cell>
        </row>
        <row r="16">
          <cell r="C16">
            <v>-3855.8701</v>
          </cell>
        </row>
        <row r="20">
          <cell r="C20">
            <v>-69844.22682200001</v>
          </cell>
        </row>
        <row r="23">
          <cell r="C23">
            <v>-39040</v>
          </cell>
        </row>
        <row r="37">
          <cell r="C37">
            <v>0</v>
          </cell>
        </row>
        <row r="38">
          <cell r="C38">
            <v>-22391</v>
          </cell>
        </row>
        <row r="39">
          <cell r="C39">
            <v>-906</v>
          </cell>
        </row>
        <row r="40">
          <cell r="C40">
            <v>-488</v>
          </cell>
        </row>
        <row r="47">
          <cell r="C47">
            <v>70537.549918</v>
          </cell>
        </row>
        <row r="48">
          <cell r="C48">
            <v>1454.7682399999999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229961</v>
          </cell>
        </row>
        <row r="14">
          <cell r="Q14">
            <v>-36683</v>
          </cell>
        </row>
        <row r="15">
          <cell r="Q15">
            <v>-2903</v>
          </cell>
        </row>
        <row r="16">
          <cell r="Q16">
            <v>-19203</v>
          </cell>
        </row>
        <row r="17">
          <cell r="Q17">
            <v>-525</v>
          </cell>
        </row>
        <row r="18">
          <cell r="Q18">
            <v>0</v>
          </cell>
        </row>
        <row r="19">
          <cell r="Q19">
            <v>-1940</v>
          </cell>
        </row>
        <row r="20">
          <cell r="Q20">
            <v>-387</v>
          </cell>
        </row>
        <row r="21">
          <cell r="Q21">
            <v>-6671</v>
          </cell>
        </row>
        <row r="22">
          <cell r="Q22">
            <v>-6143.460053333342</v>
          </cell>
        </row>
        <row r="30">
          <cell r="Q30">
            <v>-20587.974226</v>
          </cell>
        </row>
        <row r="34">
          <cell r="Q34">
            <v>-38467</v>
          </cell>
        </row>
        <row r="36">
          <cell r="Q36">
            <v>-7182</v>
          </cell>
        </row>
        <row r="37">
          <cell r="Q37">
            <v>-22393</v>
          </cell>
        </row>
        <row r="38">
          <cell r="Q38">
            <v>-361</v>
          </cell>
        </row>
        <row r="41">
          <cell r="Q41">
            <v>-26.52859</v>
          </cell>
        </row>
        <row r="44">
          <cell r="Q44">
            <v>2</v>
          </cell>
        </row>
        <row r="47">
          <cell r="Q47">
            <v>-421.18233999999995</v>
          </cell>
        </row>
        <row r="49">
          <cell r="Q49">
            <v>-22458.0644</v>
          </cell>
        </row>
        <row r="56">
          <cell r="Q56">
            <v>79953.36288066664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CODESS4"/>
      <sheetName val="S4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21_Dec"/>
      <sheetName val="PPE note IFRS16"/>
      <sheetName val="IA note"/>
      <sheetName val="50"/>
      <sheetName val="406"/>
      <sheetName val="416"/>
      <sheetName val="49912"/>
      <sheetName val="ISPA"/>
      <sheetName val="49911"/>
      <sheetName val="49909"/>
      <sheetName val="GBP"/>
      <sheetName val="USD"/>
      <sheetName val="14,18"/>
      <sheetName val="159_2005-2010"/>
      <sheetName val="wise"/>
      <sheetName val="Deferred receivables"/>
      <sheetName val="721_62102"/>
      <sheetName val="loans_short_long"/>
      <sheetName val="123"/>
      <sheetName val="Sheet1"/>
      <sheetName val="LOANS"/>
      <sheetName val="Payments FA"/>
      <sheetName val="CURREN"/>
      <sheetName val="lp"/>
      <sheetName val="4981102"/>
      <sheetName val="159"/>
      <sheetName val="CAMPUS"/>
      <sheetName val="41113,40"/>
      <sheetName val="ADVANCE TAX PROFIT"/>
      <sheetName val="492"/>
      <sheetName val="401"/>
      <sheetName val="70903"/>
    </sheetNames>
    <sheetDataSet>
      <sheetData sheetId="3">
        <row r="498">
          <cell r="K498">
            <v>97263.54</v>
          </cell>
        </row>
        <row r="501">
          <cell r="K501">
            <v>345408.36</v>
          </cell>
        </row>
      </sheetData>
      <sheetData sheetId="5">
        <row r="19">
          <cell r="G19">
            <v>1801585.77</v>
          </cell>
          <cell r="AO19">
            <v>123929.74000000022</v>
          </cell>
        </row>
        <row r="113">
          <cell r="F113">
            <v>5007162.10816586</v>
          </cell>
        </row>
        <row r="115">
          <cell r="F115">
            <v>-587452.2439999924</v>
          </cell>
        </row>
      </sheetData>
      <sheetData sheetId="6">
        <row r="5">
          <cell r="AK5">
            <v>194289</v>
          </cell>
        </row>
        <row r="6">
          <cell r="AK6">
            <v>872</v>
          </cell>
        </row>
        <row r="7">
          <cell r="AK7">
            <v>16889</v>
          </cell>
        </row>
        <row r="10">
          <cell r="AK10">
            <v>-15432</v>
          </cell>
        </row>
        <row r="11">
          <cell r="AK11">
            <v>-40217</v>
          </cell>
        </row>
        <row r="12">
          <cell r="AK12">
            <v>-66258</v>
          </cell>
        </row>
        <row r="13">
          <cell r="AK13">
            <v>-29984</v>
          </cell>
        </row>
        <row r="14">
          <cell r="AK14">
            <v>-7295</v>
          </cell>
        </row>
        <row r="15">
          <cell r="AK15">
            <v>-3000</v>
          </cell>
        </row>
        <row r="16">
          <cell r="AK16">
            <v>-5133</v>
          </cell>
        </row>
      </sheetData>
      <sheetData sheetId="8">
        <row r="12">
          <cell r="W12">
            <v>10351</v>
          </cell>
        </row>
        <row r="17">
          <cell r="W17">
            <v>4154</v>
          </cell>
        </row>
        <row r="19">
          <cell r="W19">
            <v>32411</v>
          </cell>
        </row>
        <row r="20">
          <cell r="W20">
            <v>12154</v>
          </cell>
        </row>
        <row r="21">
          <cell r="W21">
            <v>132</v>
          </cell>
        </row>
        <row r="22">
          <cell r="W22">
            <v>321</v>
          </cell>
        </row>
        <row r="26">
          <cell r="W26">
            <v>402817</v>
          </cell>
        </row>
        <row r="30">
          <cell r="W30">
            <v>8884</v>
          </cell>
        </row>
        <row r="31">
          <cell r="W31">
            <v>10774</v>
          </cell>
        </row>
        <row r="34">
          <cell r="P34">
            <v>-594</v>
          </cell>
        </row>
        <row r="38">
          <cell r="W38">
            <v>1575</v>
          </cell>
        </row>
        <row r="39">
          <cell r="W39">
            <v>1880</v>
          </cell>
        </row>
        <row r="41">
          <cell r="W41">
            <v>5927</v>
          </cell>
        </row>
        <row r="45">
          <cell r="W45">
            <v>0</v>
          </cell>
        </row>
        <row r="46">
          <cell r="W46">
            <v>1618</v>
          </cell>
        </row>
        <row r="48">
          <cell r="W48">
            <v>7908</v>
          </cell>
        </row>
        <row r="50">
          <cell r="W50">
            <v>3075</v>
          </cell>
        </row>
        <row r="52">
          <cell r="W52">
            <v>3571</v>
          </cell>
        </row>
        <row r="53">
          <cell r="W53">
            <v>553</v>
          </cell>
        </row>
        <row r="58">
          <cell r="W58">
            <v>402817</v>
          </cell>
        </row>
      </sheetData>
      <sheetData sheetId="10">
        <row r="82">
          <cell r="C82">
            <v>1409.17</v>
          </cell>
        </row>
        <row r="84">
          <cell r="C84">
            <v>6.83</v>
          </cell>
        </row>
        <row r="86">
          <cell r="C86">
            <v>548.95</v>
          </cell>
        </row>
        <row r="90">
          <cell r="C90">
            <v>0</v>
          </cell>
        </row>
        <row r="91">
          <cell r="C91">
            <v>-119737.76</v>
          </cell>
        </row>
        <row r="92">
          <cell r="C92">
            <v>-8494.09</v>
          </cell>
        </row>
        <row r="93">
          <cell r="C93">
            <v>-21432</v>
          </cell>
        </row>
        <row r="94">
          <cell r="C94">
            <v>-2442.31</v>
          </cell>
        </row>
        <row r="95">
          <cell r="C95">
            <v>-4665.14</v>
          </cell>
        </row>
        <row r="96">
          <cell r="C96">
            <v>-703269.96</v>
          </cell>
        </row>
        <row r="97">
          <cell r="C97">
            <v>-15509.41</v>
          </cell>
        </row>
        <row r="98">
          <cell r="C98">
            <v>0</v>
          </cell>
        </row>
      </sheetData>
      <sheetData sheetId="11">
        <row r="40">
          <cell r="E40">
            <v>62</v>
          </cell>
        </row>
        <row r="43">
          <cell r="E43">
            <v>78077</v>
          </cell>
        </row>
        <row r="54">
          <cell r="E54">
            <v>22720</v>
          </cell>
        </row>
        <row r="55">
          <cell r="E55">
            <v>3022</v>
          </cell>
        </row>
        <row r="56">
          <cell r="E56">
            <v>7742</v>
          </cell>
        </row>
        <row r="57">
          <cell r="E57">
            <v>494</v>
          </cell>
        </row>
        <row r="59">
          <cell r="G59">
            <v>777.9539918947999</v>
          </cell>
        </row>
        <row r="62">
          <cell r="E62">
            <v>1191</v>
          </cell>
        </row>
        <row r="63">
          <cell r="G63">
            <v>1178</v>
          </cell>
        </row>
        <row r="64">
          <cell r="E64">
            <v>2704.0977799999996</v>
          </cell>
        </row>
        <row r="65">
          <cell r="E65">
            <v>1477.9476599999998</v>
          </cell>
        </row>
        <row r="66">
          <cell r="E66">
            <v>248.34284000000002</v>
          </cell>
        </row>
        <row r="67">
          <cell r="E67">
            <v>1441</v>
          </cell>
        </row>
        <row r="107">
          <cell r="C107">
            <v>1104.3416200000001</v>
          </cell>
        </row>
        <row r="108">
          <cell r="C108">
            <v>605</v>
          </cell>
          <cell r="D108">
            <v>238</v>
          </cell>
          <cell r="E108">
            <v>-34</v>
          </cell>
          <cell r="F108">
            <v>-141</v>
          </cell>
        </row>
        <row r="109">
          <cell r="C109">
            <v>1453.67931</v>
          </cell>
          <cell r="D109">
            <v>345.40835999999996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s"/>
      <sheetName val="Variances F1"/>
      <sheetName val="Variances F2"/>
      <sheetName val="CF Monthly"/>
      <sheetName val="Cash Flow LBE 2021"/>
      <sheetName val="CF by banks"/>
      <sheetName val="CF by banks 000"/>
      <sheetName val="Budget CF"/>
      <sheetName val="F121"/>
      <sheetName val="F221"/>
      <sheetName val="check"/>
    </sheetNames>
    <sheetDataSet>
      <sheetData sheetId="4">
        <row r="54">
          <cell r="O54">
            <v>-34195.42751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44561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44650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44197</v>
      </c>
    </row>
    <row r="10" spans="1:2" ht="15.75">
      <c r="A10" s="7" t="s">
        <v>2</v>
      </c>
      <c r="B10" s="575">
        <v>44561</v>
      </c>
    </row>
    <row r="11" spans="1:2" ht="15.75">
      <c r="A11" s="7" t="s">
        <v>977</v>
      </c>
      <c r="B11" s="575">
        <v>44650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1000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1001</v>
      </c>
    </row>
    <row r="20" spans="1:2" ht="15.75">
      <c r="A20" s="7" t="s">
        <v>5</v>
      </c>
      <c r="B20" s="574" t="s">
        <v>1001</v>
      </c>
    </row>
    <row r="21" spans="1:2" ht="15.75">
      <c r="A21" s="10" t="s">
        <v>6</v>
      </c>
      <c r="B21" s="576" t="s">
        <v>992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993</v>
      </c>
    </row>
    <row r="24" spans="1:2" ht="15.75">
      <c r="A24" s="10" t="s">
        <v>918</v>
      </c>
      <c r="B24" s="687" t="s">
        <v>994</v>
      </c>
    </row>
    <row r="25" spans="1:2" ht="15.75">
      <c r="A25" s="7" t="s">
        <v>921</v>
      </c>
      <c r="B25" s="688" t="s">
        <v>995</v>
      </c>
    </row>
    <row r="26" spans="1:2" ht="15.75">
      <c r="A26" s="10" t="s">
        <v>970</v>
      </c>
      <c r="B26" s="576" t="s">
        <v>996</v>
      </c>
    </row>
    <row r="27" spans="1:2" ht="15.75">
      <c r="A27" s="10" t="s">
        <v>971</v>
      </c>
      <c r="B27" s="576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D6" sqref="D6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01.01.2021 г. до 31.12.2021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402817.01477999985</v>
      </c>
      <c r="D6" s="672">
        <f aca="true" t="shared" si="0" ref="D6:D15">C6-E6</f>
        <v>-0.3986700001405552</v>
      </c>
      <c r="E6" s="671">
        <f>'1-Баланс'!G95</f>
        <v>402817.41345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333714.41345</v>
      </c>
      <c r="D7" s="672">
        <f t="shared" si="0"/>
        <v>324830.41345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39437</v>
      </c>
      <c r="D8" s="672">
        <f t="shared" si="0"/>
        <v>0.269960000005085</v>
      </c>
      <c r="E8" s="671">
        <f>ABS('2-Отчет за доходите'!C44)-ABS('2-Отчет за доходите'!G44)</f>
        <v>39436.730039999995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70537.76824</v>
      </c>
      <c r="D9" s="672">
        <f t="shared" si="0"/>
        <v>0</v>
      </c>
      <c r="E9" s="671">
        <f>'3-Отчет за паричния поток'!C45</f>
        <v>70537.76824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79941</v>
      </c>
      <c r="D10" s="672">
        <f t="shared" si="0"/>
        <v>0.23175999999511987</v>
      </c>
      <c r="E10" s="671">
        <f>'3-Отчет за паричния поток'!C46</f>
        <v>79940.76824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333714.41345</v>
      </c>
      <c r="D11" s="672">
        <f t="shared" si="0"/>
        <v>0</v>
      </c>
      <c r="E11" s="671">
        <f>'4-Отчет за собствения капитал'!L34</f>
        <v>333714.41345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0.18597972176373498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0.11817589654667042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0.5706988119184406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0.09790301440354668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1.260748890562915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2.161936337301787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2.0923795649771435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1.3385743708243332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1.3385743708243332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0.7930717282543079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0.5264176840092317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0.027345083283323957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0.20707226662942327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0.1715493573123789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44013.730039999995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0.1318904076841575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0.5200221174051648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0.6266610669383128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3024.69628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7655.344209999996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7049.767120000004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1317.3213200000002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19232.12893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7497.336010000003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2.526160000004893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236492.09393999988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243991.95610999988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123.92974000000022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123.92974000000022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10351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273704.01477999985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4154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4154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132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44565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321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45018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62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79879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79941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129113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402817.01477999985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-594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10180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275213.41345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275213.41345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39437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314650.41345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333714.41345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9382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9382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9382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1618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49319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3075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35585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7742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1191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1726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5213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3571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59721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59721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402817.41345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15432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40217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66258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29984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7295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8133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3000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442.67189999999994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167319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157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16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703.26996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876.26996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168195.26996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43856.730039999995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168195.26996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43856.730039999995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4420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5007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-587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39436.730039999995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39436.730039999995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212052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195161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16889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212050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212052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212052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212052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229961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-36683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-22754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-7182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-58373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104969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-38467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-38467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-22458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-421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-25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-34195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-57099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44561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9403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44561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70537.76824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44561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79940.76824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44561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79940.76824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44561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1454.7682399999999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44561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44561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44561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44561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44561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44561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44561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44561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44561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44561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44561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44561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44561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44561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44561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44561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44561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44561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44561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44561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44561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44561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44561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44561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44561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44561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44561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44561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44561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44561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44561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44561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44561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44561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44561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44561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44561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44561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44561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44561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44561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44561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44561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44561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44561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-550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44561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44561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44561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44561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-550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44561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44561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44561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44561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44561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44561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44561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44561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44561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-44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44561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-44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44561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44561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44561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44561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-594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44561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44561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44561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-594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44561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44561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44561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44561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44561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44561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44561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44561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44561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44561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44561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44561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44561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44561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44561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44561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44561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44561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44561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44561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44561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44561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44561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44561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44561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44561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44561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44561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44561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44561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44561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44561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44561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44561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44561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44561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44561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44561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44561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44561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44561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44561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44561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44561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44561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44561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44561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44561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44561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44561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44561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44561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44561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44561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44561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44561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44561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44561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44561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44561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44561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44561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44561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44561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44561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44561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44561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309408.41345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44561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44561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44561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44561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309408.41345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44561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39437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44561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-34195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44561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-34195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44561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44561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44561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44561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44561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44561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44561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44561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44561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44561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44561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314650.41345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44561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44561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44561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314650.41345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44561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44561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44561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44561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44561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44561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44561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44561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44561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44561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44561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44561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44561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44561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44561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44561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44561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44561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44561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44561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44561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44561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44561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44561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44561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44561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44561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44561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44561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44561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44561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44561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44561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44561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44561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44561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44561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44561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44561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44561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44561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44561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44561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44561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44561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328516.41345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44561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44561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44561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44561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328516.41345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44561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39437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44561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-34195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44561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-34195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44561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44561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44561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44561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44561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44561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-44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44561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-44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44561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44561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44561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44561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333714.41345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44561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44561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44561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333714.41345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44561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44561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44561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44561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44561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44561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44561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44561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44561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44561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44561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44561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44561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44561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44561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44561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44561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44561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44561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44561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44561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44561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44561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44561</v>
      </c>
      <c r="D462" s="105" t="s">
        <v>526</v>
      </c>
      <c r="E462" s="493">
        <v>1</v>
      </c>
      <c r="F462" s="105" t="s">
        <v>525</v>
      </c>
      <c r="H462" s="105">
        <f>'Справка 6'!D12</f>
        <v>8564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44561</v>
      </c>
      <c r="D463" s="105" t="s">
        <v>529</v>
      </c>
      <c r="E463" s="493">
        <v>1</v>
      </c>
      <c r="F463" s="105" t="s">
        <v>528</v>
      </c>
      <c r="H463" s="105">
        <f>'Справка 6'!D13</f>
        <v>39215.22298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44561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44561</v>
      </c>
      <c r="D465" s="105" t="s">
        <v>535</v>
      </c>
      <c r="E465" s="493">
        <v>1</v>
      </c>
      <c r="F465" s="105" t="s">
        <v>534</v>
      </c>
      <c r="H465" s="105">
        <f>'Справка 6'!D15</f>
        <v>19942.50808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44561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44561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44561</v>
      </c>
      <c r="D468" s="105" t="s">
        <v>543</v>
      </c>
      <c r="E468" s="493">
        <v>1</v>
      </c>
      <c r="F468" s="105" t="s">
        <v>542</v>
      </c>
      <c r="H468" s="105">
        <f>'Справка 6'!D18</f>
        <v>2115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44561</v>
      </c>
      <c r="D469" s="105" t="s">
        <v>545</v>
      </c>
      <c r="E469" s="493">
        <v>1</v>
      </c>
      <c r="F469" s="105" t="s">
        <v>828</v>
      </c>
      <c r="H469" s="105">
        <f>'Справка 6'!D19</f>
        <v>70021.73105999999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44561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44561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44561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44561</v>
      </c>
      <c r="D473" s="105" t="s">
        <v>555</v>
      </c>
      <c r="E473" s="493">
        <v>1</v>
      </c>
      <c r="F473" s="105" t="s">
        <v>554</v>
      </c>
      <c r="H473" s="105">
        <f>'Справка 6'!D24</f>
        <v>24141.47518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44561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44561</v>
      </c>
      <c r="D475" s="105" t="s">
        <v>558</v>
      </c>
      <c r="E475" s="493">
        <v>1</v>
      </c>
      <c r="F475" s="105" t="s">
        <v>542</v>
      </c>
      <c r="H475" s="105">
        <f>'Справка 6'!D26</f>
        <v>610394.52482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44561</v>
      </c>
      <c r="D476" s="105" t="s">
        <v>560</v>
      </c>
      <c r="E476" s="493">
        <v>1</v>
      </c>
      <c r="F476" s="105" t="s">
        <v>863</v>
      </c>
      <c r="H476" s="105">
        <f>'Справка 6'!D27</f>
        <v>655577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44561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44561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44561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44561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44561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44561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44561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44561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44561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44561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44561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44561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44561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44561</v>
      </c>
      <c r="D490" s="105" t="s">
        <v>583</v>
      </c>
      <c r="E490" s="493">
        <v>1</v>
      </c>
      <c r="F490" s="105" t="s">
        <v>582</v>
      </c>
      <c r="H490" s="105">
        <f>'Справка 6'!D42</f>
        <v>732991.73106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44561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44561</v>
      </c>
      <c r="D492" s="105" t="s">
        <v>526</v>
      </c>
      <c r="E492" s="493">
        <v>2</v>
      </c>
      <c r="F492" s="105" t="s">
        <v>525</v>
      </c>
      <c r="H492" s="105">
        <f>'Справка 6'!E12</f>
        <v>376.70390000000003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44561</v>
      </c>
      <c r="D493" s="105" t="s">
        <v>529</v>
      </c>
      <c r="E493" s="493">
        <v>2</v>
      </c>
      <c r="F493" s="105" t="s">
        <v>528</v>
      </c>
      <c r="H493" s="105">
        <f>'Справка 6'!E13</f>
        <v>1850.9984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44561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44561</v>
      </c>
      <c r="D495" s="105" t="s">
        <v>535</v>
      </c>
      <c r="E495" s="493">
        <v>2</v>
      </c>
      <c r="F495" s="105" t="s">
        <v>534</v>
      </c>
      <c r="H495" s="105">
        <f>'Справка 6'!E15</f>
        <v>1884.23828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44561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44561</v>
      </c>
      <c r="D497" s="105" t="s">
        <v>540</v>
      </c>
      <c r="E497" s="493">
        <v>2</v>
      </c>
      <c r="F497" s="105" t="s">
        <v>539</v>
      </c>
      <c r="H497" s="105">
        <f>'Справка 6'!E17</f>
        <v>4450.781239999999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44561</v>
      </c>
      <c r="D498" s="105" t="s">
        <v>543</v>
      </c>
      <c r="E498" s="493">
        <v>2</v>
      </c>
      <c r="F498" s="105" t="s">
        <v>542</v>
      </c>
      <c r="H498" s="105">
        <f>'Справка 6'!E18</f>
        <v>716.54456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44561</v>
      </c>
      <c r="D499" s="105" t="s">
        <v>545</v>
      </c>
      <c r="E499" s="493">
        <v>2</v>
      </c>
      <c r="F499" s="105" t="s">
        <v>828</v>
      </c>
      <c r="H499" s="105">
        <f>'Справка 6'!E19</f>
        <v>9279.26638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44561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44561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44561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44561</v>
      </c>
      <c r="D503" s="105" t="s">
        <v>555</v>
      </c>
      <c r="E503" s="493">
        <v>2</v>
      </c>
      <c r="F503" s="105" t="s">
        <v>554</v>
      </c>
      <c r="H503" s="105">
        <f>'Справка 6'!E24</f>
        <v>2517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44561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44561</v>
      </c>
      <c r="D505" s="105" t="s">
        <v>558</v>
      </c>
      <c r="E505" s="493">
        <v>2</v>
      </c>
      <c r="F505" s="105" t="s">
        <v>542</v>
      </c>
      <c r="H505" s="105">
        <f>'Справка 6'!E26</f>
        <v>78322.63822999985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44561</v>
      </c>
      <c r="D506" s="105" t="s">
        <v>560</v>
      </c>
      <c r="E506" s="493">
        <v>2</v>
      </c>
      <c r="F506" s="105" t="s">
        <v>863</v>
      </c>
      <c r="H506" s="105">
        <f>'Справка 6'!E27</f>
        <v>80839.63822999985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44561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44561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44561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44561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44561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44561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44561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44561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44561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44561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44561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44561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44561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44561</v>
      </c>
      <c r="D520" s="105" t="s">
        <v>583</v>
      </c>
      <c r="E520" s="493">
        <v>2</v>
      </c>
      <c r="F520" s="105" t="s">
        <v>582</v>
      </c>
      <c r="H520" s="105">
        <f>'Справка 6'!E42</f>
        <v>90118.90460999985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44561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44561</v>
      </c>
      <c r="D522" s="105" t="s">
        <v>526</v>
      </c>
      <c r="E522" s="493">
        <v>3</v>
      </c>
      <c r="F522" s="105" t="s">
        <v>525</v>
      </c>
      <c r="H522" s="105">
        <f>'Справка 6'!F12</f>
        <v>2866.33655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44561</v>
      </c>
      <c r="D523" s="105" t="s">
        <v>529</v>
      </c>
      <c r="E523" s="493">
        <v>3</v>
      </c>
      <c r="F523" s="105" t="s">
        <v>528</v>
      </c>
      <c r="H523" s="105">
        <f>'Справка 6'!F13</f>
        <v>734.61754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44561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44561</v>
      </c>
      <c r="D525" s="105" t="s">
        <v>535</v>
      </c>
      <c r="E525" s="493">
        <v>3</v>
      </c>
      <c r="F525" s="105" t="s">
        <v>534</v>
      </c>
      <c r="H525" s="105">
        <f>'Справка 6'!F15</f>
        <v>179.37564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44561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44561</v>
      </c>
      <c r="D527" s="105" t="s">
        <v>540</v>
      </c>
      <c r="E527" s="493">
        <v>3</v>
      </c>
      <c r="F527" s="105" t="s">
        <v>539</v>
      </c>
      <c r="H527" s="105">
        <f>'Справка 6'!F17</f>
        <v>4450.781239999999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44561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44561</v>
      </c>
      <c r="D529" s="105" t="s">
        <v>545</v>
      </c>
      <c r="E529" s="493">
        <v>3</v>
      </c>
      <c r="F529" s="105" t="s">
        <v>828</v>
      </c>
      <c r="H529" s="105">
        <f>'Справка 6'!F19</f>
        <v>8231.11097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44561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44561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44561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44561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44561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44561</v>
      </c>
      <c r="D535" s="105" t="s">
        <v>558</v>
      </c>
      <c r="E535" s="493">
        <v>3</v>
      </c>
      <c r="F535" s="105" t="s">
        <v>542</v>
      </c>
      <c r="H535" s="105">
        <f>'Справка 6'!F26</f>
        <v>45165.07626000001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44561</v>
      </c>
      <c r="D536" s="105" t="s">
        <v>560</v>
      </c>
      <c r="E536" s="493">
        <v>3</v>
      </c>
      <c r="F536" s="105" t="s">
        <v>863</v>
      </c>
      <c r="H536" s="105">
        <f>'Справка 6'!F27</f>
        <v>45165.07626000001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44561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44561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44561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44561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44561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44561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44561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44561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44561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44561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44561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44561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44561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44561</v>
      </c>
      <c r="D550" s="105" t="s">
        <v>583</v>
      </c>
      <c r="E550" s="493">
        <v>3</v>
      </c>
      <c r="F550" s="105" t="s">
        <v>582</v>
      </c>
      <c r="H550" s="105">
        <f>'Справка 6'!F42</f>
        <v>53396.18723000001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44561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44561</v>
      </c>
      <c r="D552" s="105" t="s">
        <v>526</v>
      </c>
      <c r="E552" s="493">
        <v>4</v>
      </c>
      <c r="F552" s="105" t="s">
        <v>525</v>
      </c>
      <c r="H552" s="105">
        <f>'Справка 6'!G12</f>
        <v>6074.36735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44561</v>
      </c>
      <c r="D553" s="105" t="s">
        <v>529</v>
      </c>
      <c r="E553" s="493">
        <v>4</v>
      </c>
      <c r="F553" s="105" t="s">
        <v>528</v>
      </c>
      <c r="H553" s="105">
        <f>'Справка 6'!G13</f>
        <v>40331.603839999996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44561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44561</v>
      </c>
      <c r="D555" s="105" t="s">
        <v>535</v>
      </c>
      <c r="E555" s="493">
        <v>4</v>
      </c>
      <c r="F555" s="105" t="s">
        <v>534</v>
      </c>
      <c r="H555" s="105">
        <f>'Справка 6'!G15</f>
        <v>21647.370720000003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44561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44561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44561</v>
      </c>
      <c r="D558" s="105" t="s">
        <v>543</v>
      </c>
      <c r="E558" s="493">
        <v>4</v>
      </c>
      <c r="F558" s="105" t="s">
        <v>542</v>
      </c>
      <c r="H558" s="105">
        <f>'Справка 6'!G18</f>
        <v>2831.5445600000003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44561</v>
      </c>
      <c r="D559" s="105" t="s">
        <v>545</v>
      </c>
      <c r="E559" s="493">
        <v>4</v>
      </c>
      <c r="F559" s="105" t="s">
        <v>828</v>
      </c>
      <c r="H559" s="105">
        <f>'Справка 6'!G19</f>
        <v>71069.88647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44561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44561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44561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44561</v>
      </c>
      <c r="D563" s="105" t="s">
        <v>555</v>
      </c>
      <c r="E563" s="493">
        <v>4</v>
      </c>
      <c r="F563" s="105" t="s">
        <v>554</v>
      </c>
      <c r="H563" s="105">
        <f>'Справка 6'!G24</f>
        <v>26658.47518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44561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44561</v>
      </c>
      <c r="D565" s="105" t="s">
        <v>558</v>
      </c>
      <c r="E565" s="493">
        <v>4</v>
      </c>
      <c r="F565" s="105" t="s">
        <v>542</v>
      </c>
      <c r="H565" s="105">
        <f>'Справка 6'!G26</f>
        <v>643552.0867899999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44561</v>
      </c>
      <c r="D566" s="105" t="s">
        <v>560</v>
      </c>
      <c r="E566" s="493">
        <v>4</v>
      </c>
      <c r="F566" s="105" t="s">
        <v>863</v>
      </c>
      <c r="H566" s="105">
        <f>'Справка 6'!G27</f>
        <v>691251.5619699998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44561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44561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44561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44561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44561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44561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44561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44561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44561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44561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44561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44561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44561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44561</v>
      </c>
      <c r="D580" s="105" t="s">
        <v>583</v>
      </c>
      <c r="E580" s="493">
        <v>4</v>
      </c>
      <c r="F580" s="105" t="s">
        <v>582</v>
      </c>
      <c r="H580" s="105">
        <f>'Справка 6'!G42</f>
        <v>769714.4484399998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44561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44561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44561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44561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44561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44561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44561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44561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44561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44561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44561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44561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44561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44561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44561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44561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44561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44561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44561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44561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44561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44561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44561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44561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44561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44561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44561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44561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44561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44561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44561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44561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44561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44561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44561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44561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44561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44561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44561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44561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44561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44561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44561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44561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44561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44561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44561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44561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44561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44561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44561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44561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44561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44561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44561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44561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44561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44561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44561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44561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44561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44561</v>
      </c>
      <c r="D642" s="105" t="s">
        <v>526</v>
      </c>
      <c r="E642" s="493">
        <v>7</v>
      </c>
      <c r="F642" s="105" t="s">
        <v>525</v>
      </c>
      <c r="H642" s="105">
        <f>'Справка 6'!J12</f>
        <v>6074.36735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44561</v>
      </c>
      <c r="D643" s="105" t="s">
        <v>529</v>
      </c>
      <c r="E643" s="493">
        <v>7</v>
      </c>
      <c r="F643" s="105" t="s">
        <v>528</v>
      </c>
      <c r="H643" s="105">
        <f>'Справка 6'!J13</f>
        <v>40331.603839999996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44561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44561</v>
      </c>
      <c r="D645" s="105" t="s">
        <v>535</v>
      </c>
      <c r="E645" s="493">
        <v>7</v>
      </c>
      <c r="F645" s="105" t="s">
        <v>534</v>
      </c>
      <c r="H645" s="105">
        <f>'Справка 6'!J15</f>
        <v>21647.370720000003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44561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44561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44561</v>
      </c>
      <c r="D648" s="105" t="s">
        <v>543</v>
      </c>
      <c r="E648" s="493">
        <v>7</v>
      </c>
      <c r="F648" s="105" t="s">
        <v>542</v>
      </c>
      <c r="H648" s="105">
        <f>'Справка 6'!J18</f>
        <v>2831.5445600000003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44561</v>
      </c>
      <c r="D649" s="105" t="s">
        <v>545</v>
      </c>
      <c r="E649" s="493">
        <v>7</v>
      </c>
      <c r="F649" s="105" t="s">
        <v>828</v>
      </c>
      <c r="H649" s="105">
        <f>'Справка 6'!J19</f>
        <v>71069.88647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44561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44561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44561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44561</v>
      </c>
      <c r="D653" s="105" t="s">
        <v>555</v>
      </c>
      <c r="E653" s="493">
        <v>7</v>
      </c>
      <c r="F653" s="105" t="s">
        <v>554</v>
      </c>
      <c r="H653" s="105">
        <f>'Справка 6'!J24</f>
        <v>26658.47518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44561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44561</v>
      </c>
      <c r="D655" s="105" t="s">
        <v>558</v>
      </c>
      <c r="E655" s="493">
        <v>7</v>
      </c>
      <c r="F655" s="105" t="s">
        <v>542</v>
      </c>
      <c r="H655" s="105">
        <f>'Справка 6'!J26</f>
        <v>643552.0867899999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44561</v>
      </c>
      <c r="D656" s="105" t="s">
        <v>560</v>
      </c>
      <c r="E656" s="493">
        <v>7</v>
      </c>
      <c r="F656" s="105" t="s">
        <v>863</v>
      </c>
      <c r="H656" s="105">
        <f>'Справка 6'!J27</f>
        <v>691251.5619699998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44561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44561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44561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44561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44561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44561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44561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44561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44561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44561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44561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44561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44561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44561</v>
      </c>
      <c r="D670" s="105" t="s">
        <v>583</v>
      </c>
      <c r="E670" s="493">
        <v>7</v>
      </c>
      <c r="F670" s="105" t="s">
        <v>582</v>
      </c>
      <c r="H670" s="105">
        <f>'Справка 6'!J42</f>
        <v>769714.4484399998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44561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44561</v>
      </c>
      <c r="D672" s="105" t="s">
        <v>526</v>
      </c>
      <c r="E672" s="493">
        <v>8</v>
      </c>
      <c r="F672" s="105" t="s">
        <v>525</v>
      </c>
      <c r="H672" s="105">
        <f>'Справка 6'!K12</f>
        <v>4493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44561</v>
      </c>
      <c r="D673" s="105" t="s">
        <v>529</v>
      </c>
      <c r="E673" s="493">
        <v>8</v>
      </c>
      <c r="F673" s="105" t="s">
        <v>528</v>
      </c>
      <c r="H673" s="105">
        <f>'Справка 6'!K13</f>
        <v>30326.15492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44561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44561</v>
      </c>
      <c r="D675" s="105" t="s">
        <v>535</v>
      </c>
      <c r="E675" s="493">
        <v>8</v>
      </c>
      <c r="F675" s="105" t="s">
        <v>534</v>
      </c>
      <c r="H675" s="105">
        <f>'Справка 6'!K15</f>
        <v>13050.26736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44561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44561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44561</v>
      </c>
      <c r="D678" s="105" t="s">
        <v>543</v>
      </c>
      <c r="E678" s="493">
        <v>8</v>
      </c>
      <c r="F678" s="105" t="s">
        <v>542</v>
      </c>
      <c r="H678" s="105">
        <f>'Справка 6'!K18</f>
        <v>1373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44561</v>
      </c>
      <c r="D679" s="105" t="s">
        <v>545</v>
      </c>
      <c r="E679" s="493">
        <v>8</v>
      </c>
      <c r="F679" s="105" t="s">
        <v>828</v>
      </c>
      <c r="H679" s="105">
        <f>'Справка 6'!K19</f>
        <v>49242.42228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44561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44561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44561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44561</v>
      </c>
      <c r="D683" s="105" t="s">
        <v>555</v>
      </c>
      <c r="E683" s="493">
        <v>8</v>
      </c>
      <c r="F683" s="105" t="s">
        <v>554</v>
      </c>
      <c r="H683" s="105">
        <f>'Справка 6'!K24</f>
        <v>18198.54205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44561</v>
      </c>
      <c r="D684" s="105" t="s">
        <v>557</v>
      </c>
      <c r="E684" s="493">
        <v>8</v>
      </c>
      <c r="F684" s="105" t="s">
        <v>556</v>
      </c>
      <c r="H684" s="105">
        <f>'Справка 6'!K25</f>
        <v>21038.473839999995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44561</v>
      </c>
      <c r="D685" s="105" t="s">
        <v>558</v>
      </c>
      <c r="E685" s="493">
        <v>8</v>
      </c>
      <c r="F685" s="105" t="s">
        <v>542</v>
      </c>
      <c r="H685" s="105">
        <f>'Справка 6'!K26</f>
        <v>348096.72598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44561</v>
      </c>
      <c r="D686" s="105" t="s">
        <v>560</v>
      </c>
      <c r="E686" s="493">
        <v>8</v>
      </c>
      <c r="F686" s="105" t="s">
        <v>863</v>
      </c>
      <c r="H686" s="105">
        <f>'Справка 6'!K27</f>
        <v>387333.74186999997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44561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44561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44561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44561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44561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44561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44561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44561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44561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44561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44561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44561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44561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44561</v>
      </c>
      <c r="D700" s="105" t="s">
        <v>583</v>
      </c>
      <c r="E700" s="493">
        <v>8</v>
      </c>
      <c r="F700" s="105" t="s">
        <v>582</v>
      </c>
      <c r="H700" s="105">
        <f>'Справка 6'!K42</f>
        <v>443969.16414999997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44561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44561</v>
      </c>
      <c r="D702" s="105" t="s">
        <v>526</v>
      </c>
      <c r="E702" s="493">
        <v>9</v>
      </c>
      <c r="F702" s="105" t="s">
        <v>525</v>
      </c>
      <c r="H702" s="105">
        <f>'Справка 6'!L12</f>
        <v>1423.0076199999999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44561</v>
      </c>
      <c r="D703" s="105" t="s">
        <v>529</v>
      </c>
      <c r="E703" s="493">
        <v>9</v>
      </c>
      <c r="F703" s="105" t="s">
        <v>528</v>
      </c>
      <c r="H703" s="105">
        <f>'Справка 6'!L13</f>
        <v>3065.5938100000003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44561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44561</v>
      </c>
      <c r="D705" s="105" t="s">
        <v>535</v>
      </c>
      <c r="E705" s="493">
        <v>9</v>
      </c>
      <c r="F705" s="105" t="s">
        <v>534</v>
      </c>
      <c r="H705" s="105">
        <f>'Справка 6'!L15</f>
        <v>1703.4970899999998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44561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44561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44561</v>
      </c>
      <c r="D708" s="105" t="s">
        <v>543</v>
      </c>
      <c r="E708" s="493">
        <v>9</v>
      </c>
      <c r="F708" s="105" t="s">
        <v>542</v>
      </c>
      <c r="H708" s="105">
        <f>'Справка 6'!L18</f>
        <v>141.22324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44561</v>
      </c>
      <c r="D709" s="105" t="s">
        <v>545</v>
      </c>
      <c r="E709" s="493">
        <v>9</v>
      </c>
      <c r="F709" s="105" t="s">
        <v>828</v>
      </c>
      <c r="H709" s="105">
        <f>'Справка 6'!L19</f>
        <v>6333.321760000001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44561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44561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44561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44561</v>
      </c>
      <c r="D713" s="105" t="s">
        <v>555</v>
      </c>
      <c r="E713" s="493">
        <v>9</v>
      </c>
      <c r="F713" s="105" t="s">
        <v>554</v>
      </c>
      <c r="H713" s="105">
        <f>'Справка 6'!L24</f>
        <v>962.59712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44561</v>
      </c>
      <c r="D714" s="105" t="s">
        <v>557</v>
      </c>
      <c r="E714" s="493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44561</v>
      </c>
      <c r="D715" s="105" t="s">
        <v>558</v>
      </c>
      <c r="E715" s="493">
        <v>9</v>
      </c>
      <c r="F715" s="105" t="s">
        <v>542</v>
      </c>
      <c r="H715" s="105">
        <f>'Справка 6'!L26</f>
        <v>58963.26686999999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44561</v>
      </c>
      <c r="D716" s="105" t="s">
        <v>560</v>
      </c>
      <c r="E716" s="493">
        <v>9</v>
      </c>
      <c r="F716" s="105" t="s">
        <v>863</v>
      </c>
      <c r="H716" s="105">
        <f>'Справка 6'!L27</f>
        <v>59925.86398999999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44561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44561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44561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44561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44561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44561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44561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44561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44561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44561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44561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44561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44561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44561</v>
      </c>
      <c r="D730" s="105" t="s">
        <v>583</v>
      </c>
      <c r="E730" s="493">
        <v>9</v>
      </c>
      <c r="F730" s="105" t="s">
        <v>582</v>
      </c>
      <c r="H730" s="105">
        <f>'Справка 6'!L42</f>
        <v>66259.18574999999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44561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44561</v>
      </c>
      <c r="D732" s="105" t="s">
        <v>526</v>
      </c>
      <c r="E732" s="493">
        <v>10</v>
      </c>
      <c r="F732" s="105" t="s">
        <v>525</v>
      </c>
      <c r="H732" s="105">
        <f>'Справка 6'!M12</f>
        <v>2866.33655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44561</v>
      </c>
      <c r="D733" s="105" t="s">
        <v>529</v>
      </c>
      <c r="E733" s="493">
        <v>10</v>
      </c>
      <c r="F733" s="105" t="s">
        <v>528</v>
      </c>
      <c r="H733" s="105">
        <f>'Справка 6'!M13</f>
        <v>715.4891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44561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44561</v>
      </c>
      <c r="D735" s="105" t="s">
        <v>535</v>
      </c>
      <c r="E735" s="493">
        <v>10</v>
      </c>
      <c r="F735" s="105" t="s">
        <v>534</v>
      </c>
      <c r="H735" s="105">
        <f>'Справка 6'!M15</f>
        <v>156.16085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44561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44561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44561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44561</v>
      </c>
      <c r="D739" s="105" t="s">
        <v>545</v>
      </c>
      <c r="E739" s="493">
        <v>10</v>
      </c>
      <c r="F739" s="105" t="s">
        <v>828</v>
      </c>
      <c r="H739" s="105">
        <f>'Справка 6'!M19</f>
        <v>3737.9865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44561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44561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44561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44561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44561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44561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44561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44561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44561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44561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44561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44561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44561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44561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44561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44561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44561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44561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44561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44561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44561</v>
      </c>
      <c r="D760" s="105" t="s">
        <v>583</v>
      </c>
      <c r="E760" s="493">
        <v>10</v>
      </c>
      <c r="F760" s="105" t="s">
        <v>582</v>
      </c>
      <c r="H760" s="105">
        <f>'Справка 6'!M42</f>
        <v>3737.9865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44561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44561</v>
      </c>
      <c r="D762" s="105" t="s">
        <v>526</v>
      </c>
      <c r="E762" s="493">
        <v>11</v>
      </c>
      <c r="F762" s="105" t="s">
        <v>525</v>
      </c>
      <c r="H762" s="105">
        <f>'Справка 6'!N12</f>
        <v>3049.6710700000003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44561</v>
      </c>
      <c r="D763" s="105" t="s">
        <v>529</v>
      </c>
      <c r="E763" s="493">
        <v>11</v>
      </c>
      <c r="F763" s="105" t="s">
        <v>528</v>
      </c>
      <c r="H763" s="105">
        <f>'Справка 6'!N13</f>
        <v>32676.25963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44561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44561</v>
      </c>
      <c r="D765" s="105" t="s">
        <v>535</v>
      </c>
      <c r="E765" s="493">
        <v>11</v>
      </c>
      <c r="F765" s="105" t="s">
        <v>534</v>
      </c>
      <c r="H765" s="105">
        <f>'Справка 6'!N15</f>
        <v>14597.603599999999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44561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44561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44561</v>
      </c>
      <c r="D768" s="105" t="s">
        <v>543</v>
      </c>
      <c r="E768" s="493">
        <v>11</v>
      </c>
      <c r="F768" s="105" t="s">
        <v>542</v>
      </c>
      <c r="H768" s="105">
        <f>'Справка 6'!N18</f>
        <v>1514.22324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44561</v>
      </c>
      <c r="D769" s="105" t="s">
        <v>545</v>
      </c>
      <c r="E769" s="493">
        <v>11</v>
      </c>
      <c r="F769" s="105" t="s">
        <v>828</v>
      </c>
      <c r="H769" s="105">
        <f>'Справка 6'!N19</f>
        <v>51837.75754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44561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44561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44561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44561</v>
      </c>
      <c r="D773" s="105" t="s">
        <v>555</v>
      </c>
      <c r="E773" s="493">
        <v>11</v>
      </c>
      <c r="F773" s="105" t="s">
        <v>554</v>
      </c>
      <c r="H773" s="105">
        <f>'Справка 6'!N24</f>
        <v>19161.13917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44561</v>
      </c>
      <c r="D774" s="105" t="s">
        <v>557</v>
      </c>
      <c r="E774" s="493">
        <v>11</v>
      </c>
      <c r="F774" s="105" t="s">
        <v>556</v>
      </c>
      <c r="H774" s="105">
        <f>'Справка 6'!N25</f>
        <v>21038.473839999995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44561</v>
      </c>
      <c r="D775" s="105" t="s">
        <v>558</v>
      </c>
      <c r="E775" s="493">
        <v>11</v>
      </c>
      <c r="F775" s="105" t="s">
        <v>542</v>
      </c>
      <c r="H775" s="105">
        <f>'Справка 6'!N26</f>
        <v>407059.99285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44561</v>
      </c>
      <c r="D776" s="105" t="s">
        <v>560</v>
      </c>
      <c r="E776" s="493">
        <v>11</v>
      </c>
      <c r="F776" s="105" t="s">
        <v>863</v>
      </c>
      <c r="H776" s="105">
        <f>'Справка 6'!N27</f>
        <v>447259.60585999995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44561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44561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44561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44561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44561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44561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44561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44561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44561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44561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44561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44561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44561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44561</v>
      </c>
      <c r="D790" s="105" t="s">
        <v>583</v>
      </c>
      <c r="E790" s="493">
        <v>11</v>
      </c>
      <c r="F790" s="105" t="s">
        <v>582</v>
      </c>
      <c r="H790" s="105">
        <f>'Справка 6'!N42</f>
        <v>506490.3634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44561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44561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44561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44561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44561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44561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44561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44561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44561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44561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44561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44561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44561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44561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44561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44561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44561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44561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44561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44561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44561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44561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44561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44561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44561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44561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44561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44561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44561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44561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44561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44561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44561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44561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44561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44561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44561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44561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44561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44561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44561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44561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44561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44561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44561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44561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44561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44561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44561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44561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44561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44561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44561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44561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44561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44561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44561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44561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44561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44561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44561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44561</v>
      </c>
      <c r="D852" s="105" t="s">
        <v>526</v>
      </c>
      <c r="E852" s="493">
        <v>14</v>
      </c>
      <c r="F852" s="105" t="s">
        <v>525</v>
      </c>
      <c r="H852" s="105">
        <f>'Справка 6'!Q12</f>
        <v>3049.6710700000003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44561</v>
      </c>
      <c r="D853" s="105" t="s">
        <v>529</v>
      </c>
      <c r="E853" s="493">
        <v>14</v>
      </c>
      <c r="F853" s="105" t="s">
        <v>528</v>
      </c>
      <c r="H853" s="105">
        <f>'Справка 6'!Q13</f>
        <v>32676.25963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44561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44561</v>
      </c>
      <c r="D855" s="105" t="s">
        <v>535</v>
      </c>
      <c r="E855" s="493">
        <v>14</v>
      </c>
      <c r="F855" s="105" t="s">
        <v>534</v>
      </c>
      <c r="H855" s="105">
        <f>'Справка 6'!Q15</f>
        <v>14597.603599999999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44561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44561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44561</v>
      </c>
      <c r="D858" s="105" t="s">
        <v>543</v>
      </c>
      <c r="E858" s="493">
        <v>14</v>
      </c>
      <c r="F858" s="105" t="s">
        <v>542</v>
      </c>
      <c r="H858" s="105">
        <f>'Справка 6'!Q18</f>
        <v>1514.22324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44561</v>
      </c>
      <c r="D859" s="105" t="s">
        <v>545</v>
      </c>
      <c r="E859" s="493">
        <v>14</v>
      </c>
      <c r="F859" s="105" t="s">
        <v>828</v>
      </c>
      <c r="H859" s="105">
        <f>'Справка 6'!Q19</f>
        <v>51837.75754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44561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44561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44561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44561</v>
      </c>
      <c r="D863" s="105" t="s">
        <v>555</v>
      </c>
      <c r="E863" s="493">
        <v>14</v>
      </c>
      <c r="F863" s="105" t="s">
        <v>554</v>
      </c>
      <c r="H863" s="105">
        <f>'Справка 6'!Q24</f>
        <v>19161.13917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44561</v>
      </c>
      <c r="D864" s="105" t="s">
        <v>557</v>
      </c>
      <c r="E864" s="493">
        <v>14</v>
      </c>
      <c r="F864" s="105" t="s">
        <v>556</v>
      </c>
      <c r="H864" s="105">
        <f>'Справка 6'!Q25</f>
        <v>21038.473839999995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44561</v>
      </c>
      <c r="D865" s="105" t="s">
        <v>558</v>
      </c>
      <c r="E865" s="493">
        <v>14</v>
      </c>
      <c r="F865" s="105" t="s">
        <v>542</v>
      </c>
      <c r="H865" s="105">
        <f>'Справка 6'!Q26</f>
        <v>407059.99285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44561</v>
      </c>
      <c r="D866" s="105" t="s">
        <v>560</v>
      </c>
      <c r="E866" s="493">
        <v>14</v>
      </c>
      <c r="F866" s="105" t="s">
        <v>863</v>
      </c>
      <c r="H866" s="105">
        <f>'Справка 6'!Q27</f>
        <v>447259.60585999995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44561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44561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44561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44561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44561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44561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44561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44561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44561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44561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44561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44561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44561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44561</v>
      </c>
      <c r="D880" s="105" t="s">
        <v>583</v>
      </c>
      <c r="E880" s="493">
        <v>14</v>
      </c>
      <c r="F880" s="105" t="s">
        <v>582</v>
      </c>
      <c r="H880" s="105">
        <f>'Справка 6'!Q42</f>
        <v>506490.3634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44561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44561</v>
      </c>
      <c r="D882" s="105" t="s">
        <v>526</v>
      </c>
      <c r="E882" s="493">
        <v>15</v>
      </c>
      <c r="F882" s="105" t="s">
        <v>525</v>
      </c>
      <c r="H882" s="105">
        <f>'Справка 6'!R12</f>
        <v>3024.69628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44561</v>
      </c>
      <c r="D883" s="105" t="s">
        <v>529</v>
      </c>
      <c r="E883" s="493">
        <v>15</v>
      </c>
      <c r="F883" s="105" t="s">
        <v>528</v>
      </c>
      <c r="H883" s="105">
        <f>'Справка 6'!R13</f>
        <v>7655.344209999996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44561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44561</v>
      </c>
      <c r="D885" s="105" t="s">
        <v>535</v>
      </c>
      <c r="E885" s="493">
        <v>15</v>
      </c>
      <c r="F885" s="105" t="s">
        <v>534</v>
      </c>
      <c r="H885" s="105">
        <f>'Справка 6'!R15</f>
        <v>7049.767120000004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44561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44561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44561</v>
      </c>
      <c r="D888" s="105" t="s">
        <v>543</v>
      </c>
      <c r="E888" s="493">
        <v>15</v>
      </c>
      <c r="F888" s="105" t="s">
        <v>542</v>
      </c>
      <c r="H888" s="105">
        <f>'Справка 6'!R18</f>
        <v>1317.3213200000002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44561</v>
      </c>
      <c r="D889" s="105" t="s">
        <v>545</v>
      </c>
      <c r="E889" s="493">
        <v>15</v>
      </c>
      <c r="F889" s="105" t="s">
        <v>828</v>
      </c>
      <c r="H889" s="105">
        <f>'Справка 6'!R19</f>
        <v>19232.12893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44561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44561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44561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44561</v>
      </c>
      <c r="D893" s="105" t="s">
        <v>555</v>
      </c>
      <c r="E893" s="493">
        <v>15</v>
      </c>
      <c r="F893" s="105" t="s">
        <v>554</v>
      </c>
      <c r="H893" s="105">
        <f>'Справка 6'!R24</f>
        <v>7497.336010000003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44561</v>
      </c>
      <c r="D894" s="105" t="s">
        <v>557</v>
      </c>
      <c r="E894" s="493">
        <v>15</v>
      </c>
      <c r="F894" s="105" t="s">
        <v>556</v>
      </c>
      <c r="H894" s="105">
        <f>'Справка 6'!R25</f>
        <v>2.526160000004893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44561</v>
      </c>
      <c r="D895" s="105" t="s">
        <v>558</v>
      </c>
      <c r="E895" s="493">
        <v>15</v>
      </c>
      <c r="F895" s="105" t="s">
        <v>542</v>
      </c>
      <c r="H895" s="105">
        <f>'Справка 6'!R26</f>
        <v>236492.09393999988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44561</v>
      </c>
      <c r="D896" s="105" t="s">
        <v>560</v>
      </c>
      <c r="E896" s="493">
        <v>15</v>
      </c>
      <c r="F896" s="105" t="s">
        <v>863</v>
      </c>
      <c r="H896" s="105">
        <f>'Справка 6'!R27</f>
        <v>243991.95610999988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44561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44561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44561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44561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44561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44561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44561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44561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44561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44561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44561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44561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44561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44561</v>
      </c>
      <c r="D910" s="105" t="s">
        <v>583</v>
      </c>
      <c r="E910" s="493">
        <v>15</v>
      </c>
      <c r="F910" s="105" t="s">
        <v>582</v>
      </c>
      <c r="H910" s="105">
        <f>'Справка 6'!R42</f>
        <v>263224.08503999986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44561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44561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44561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44561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44561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44561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44561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123.92974000000022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44561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44561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123.92974000000022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44561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123.92974000000022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44561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10351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44561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132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44561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44561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44561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132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44561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44565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44561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44561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44561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44561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44561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321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44561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44561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321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44561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44561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44561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44561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44561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44561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44561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44561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45018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44561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55492.92974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44561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44561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44561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44561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44561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44561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44561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44561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44561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44561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44561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44561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132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44561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44561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44561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132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44561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44565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44561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44561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44561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44561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44561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321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44561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44561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321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44561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44561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44561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44561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44561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44561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44561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44561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45018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44561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45018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44561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44561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44561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44561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44561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44561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44561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123.92974000000022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44561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44561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123.92974000000022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44561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123.92974000000022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44561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10351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44561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44561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44561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44561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44561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44561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44561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44561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44561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44561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44561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44561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44561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44561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44561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44561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44561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44561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44561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44561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44561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10474.92974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44561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44561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44561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44561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44561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44561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44561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44561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44561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44561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44561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44561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44561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11000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44561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3193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44561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11000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44561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44561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3075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44561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44561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44561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3075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44561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44561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44561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44561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44561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44561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44561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44561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44561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44561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44561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46244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44561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44561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35585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44561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44561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7742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44561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1726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44561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44561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1478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44561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248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44561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1191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44561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5213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44561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54532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44561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65532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44561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44561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44561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44561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44561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44561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44561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44561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44561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44561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44561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44561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44561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1618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44561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1618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44561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1618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44561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44561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3075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44561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44561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44561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3075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44561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44561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44561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44561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44561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44561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44561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44561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44561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44561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44561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46244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44561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44561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35585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44561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44561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7742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44561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1726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44561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44561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1478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44561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248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44561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1191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44561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5213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44561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54532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44561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56150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44561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44561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44561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44561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44561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44561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44561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44561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44561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44561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44561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44561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44561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9382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44561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1575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44561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9382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44561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44561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44561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44561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44561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44561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44561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44561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44561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44561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44561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44561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44561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44561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44561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44561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44561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44561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44561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44561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44561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44561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44561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44561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44561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44561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44561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44561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9382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44561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44561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44561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44561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44561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44561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44561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44561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44561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44561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44561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44561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44561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44561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44561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44561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44561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44561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44561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44561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44561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44561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44561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44561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44561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44561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44561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44561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44561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44561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44561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44561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44561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44561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44561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44561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44561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44561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44561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44561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44561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44561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44561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44561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1709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44561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44561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1454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44561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3163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44561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238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44561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44561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345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44561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583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44561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175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44561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44561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44561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175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44561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1772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44561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44561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1799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44561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3571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44561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44561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44561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44561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44561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44561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44561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44561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44561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44561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44561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44561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44561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44561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44561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44561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44561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44561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44561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44561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44561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44561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44561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44561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44561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44561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44561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44561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44561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44561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44561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44561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44561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44561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44561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44561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44561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44561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44561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44561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44561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44561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44561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44561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44561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44561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44561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44561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44561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44561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44561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44561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44561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44561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44561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44561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44561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44561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44561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44561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44561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44561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44561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44561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44561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44561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44561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44561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44561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44561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44561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44561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44561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44561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44561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44561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44561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44561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44561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44561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44561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44561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44561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44561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44561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44561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44561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44561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44561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44561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44561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44561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44561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44561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44561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44561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44561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44561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44561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44561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44561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44561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44561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44561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44561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44561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44561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44561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44561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44561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44561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44561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44561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44561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44561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44561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44561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44561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44561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44561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44561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44561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44561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44561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44561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44561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44561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44561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44561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44561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44561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44561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44561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44561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'[5]1-Баланс'!C12</f>
        <v>185</v>
      </c>
      <c r="E12" s="89" t="s">
        <v>25</v>
      </c>
      <c r="F12" s="93" t="s">
        <v>26</v>
      </c>
      <c r="G12" s="197">
        <f>'[8]BS_KPMG'!$W$30</f>
        <v>8884</v>
      </c>
      <c r="H12" s="196">
        <f>'[5]1-Баланс'!G12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3024.69628</v>
      </c>
      <c r="D13" s="196">
        <f>'[5]1-Баланс'!C13</f>
        <v>4071</v>
      </c>
      <c r="E13" s="89" t="s">
        <v>846</v>
      </c>
      <c r="F13" s="93" t="s">
        <v>29</v>
      </c>
      <c r="G13" s="197">
        <f>G12</f>
        <v>8884</v>
      </c>
      <c r="H13" s="196">
        <f>'[5]1-Баланс'!G13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7655.344209999996</v>
      </c>
      <c r="D14" s="196">
        <f>'[5]1-Баланс'!C14</f>
        <v>8889.068059999998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'[5]1-Баланс'!C15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7049.767120000004</v>
      </c>
      <c r="D16" s="196">
        <f>'[5]1-Баланс'!C16</f>
        <v>6892.24072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'[5]1-Баланс'!C17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'[5]1-Баланс'!C18</f>
        <v>32.68684999999914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1317.3213200000002</v>
      </c>
      <c r="D19" s="196">
        <f>'[5]1-Баланс'!C19</f>
        <v>709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19232.12893</v>
      </c>
      <c r="D20" s="595">
        <f>SUM(D12:D19)</f>
        <v>20778.995629999998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-594</v>
      </c>
      <c r="H21" s="196">
        <f>'[5]1-Баланс'!$G$21</f>
        <v>-550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'[8]BS_KPMG'!$W$31</f>
        <v>10774</v>
      </c>
      <c r="H23" s="196">
        <f>'[5]1-Баланс'!$G$23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'[5]1-Баланс'!C24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7497.336010000003</v>
      </c>
      <c r="D25" s="196">
        <f>'[5]1-Баланс'!C25</f>
        <v>5942.933130000001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2.526160000004893</v>
      </c>
      <c r="D26" s="196">
        <f>'[5]1-Баланс'!C26</f>
        <v>2.526160000004893</v>
      </c>
      <c r="E26" s="481" t="s">
        <v>77</v>
      </c>
      <c r="F26" s="95" t="s">
        <v>78</v>
      </c>
      <c r="G26" s="594">
        <f>G20+G21+G22</f>
        <v>10180</v>
      </c>
      <c r="H26" s="595">
        <f>H20+H21+H22</f>
        <v>10224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236492.09393999988</v>
      </c>
      <c r="D27" s="196">
        <f>'[5]1-Баланс'!C27</f>
        <v>262297.79884000006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243991.95610999988</v>
      </c>
      <c r="D28" s="595">
        <f>SUM(D24:D27)</f>
        <v>268243.2581300001</v>
      </c>
      <c r="E28" s="202" t="s">
        <v>84</v>
      </c>
      <c r="F28" s="93" t="s">
        <v>85</v>
      </c>
      <c r="G28" s="592">
        <f>SUM(G29:G31)</f>
        <v>275213.41345</v>
      </c>
      <c r="H28" s="593">
        <f>SUM(H29:H31)</f>
        <v>274868.41345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H34+'4-Отчет за собствения капитал'!I20</f>
        <v>275213.41345</v>
      </c>
      <c r="H29" s="196">
        <f>'[5]1-Баланс'!$G$29</f>
        <v>274868.41345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39437</v>
      </c>
      <c r="H32" s="196">
        <f>'[5]1-Баланс'!$G$32</f>
        <v>34540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314650.41345</v>
      </c>
      <c r="H34" s="595">
        <f>H28+H32+H33</f>
        <v>309408.41345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'[4]BS_KPMG'!$W$11</f>
        <v>5</v>
      </c>
      <c r="D36" s="196">
        <f>'[5]1-Баланс'!$C$36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333714.41345</v>
      </c>
      <c r="H37" s="597">
        <f>H26+H18+H34</f>
        <v>328516.41345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f>'[5]1-Баланс'!G45</f>
        <v>10253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SUM('[8]BS_KPMG'!$W$38:$W$41)</f>
        <v>9382</v>
      </c>
      <c r="H49" s="196">
        <f>'[5]1-Баланс'!G49</f>
        <v>8576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9382</v>
      </c>
      <c r="H50" s="593">
        <f>SUM(H44:H49)</f>
        <v>18829</v>
      </c>
    </row>
    <row r="51" spans="1:8" ht="15.75">
      <c r="A51" s="89" t="s">
        <v>79</v>
      </c>
      <c r="B51" s="91" t="s">
        <v>155</v>
      </c>
      <c r="C51" s="197">
        <f>'[8]IAS'!$AO$19/1000</f>
        <v>123.92974000000022</v>
      </c>
      <c r="D51" s="196">
        <f>'[5]1-Баланс'!$C$51</f>
        <v>155.44086999999965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123.92974000000022</v>
      </c>
      <c r="D52" s="595">
        <f>SUM(D48:D51)</f>
        <v>155.44086999999965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'[8]BS_KPMG'!$W$12</f>
        <v>10351</v>
      </c>
      <c r="D55" s="476">
        <f>'[5]1-Баланс'!$C$55</f>
        <v>9763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273704.01477999985</v>
      </c>
      <c r="D56" s="599">
        <f>D20+D21+D22+D28+D33+D46+D52+D54+D55</f>
        <v>298945.6946300001</v>
      </c>
      <c r="E56" s="100" t="s">
        <v>850</v>
      </c>
      <c r="F56" s="99" t="s">
        <v>172</v>
      </c>
      <c r="G56" s="596">
        <f>G50+G52+G53+G54+G55</f>
        <v>9382</v>
      </c>
      <c r="H56" s="597">
        <f>H50+H52+H53+H54+H55</f>
        <v>18829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'[8]BS_KPMG'!$W$17</f>
        <v>4154</v>
      </c>
      <c r="D59" s="196">
        <f>'[5]1-Баланс'!$C$59</f>
        <v>3359</v>
      </c>
      <c r="E59" s="201" t="s">
        <v>180</v>
      </c>
      <c r="F59" s="483" t="s">
        <v>181</v>
      </c>
      <c r="G59" s="197">
        <f>ROUND('[8]BS_KPMG'!$W$45+'[8]BS_KPMG'!$W$46,0)</f>
        <v>1618</v>
      </c>
      <c r="H59" s="196">
        <f>'[5]1-Баланс'!$G$59</f>
        <v>16726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49319</v>
      </c>
      <c r="H61" s="593">
        <f>SUM(H62:H68)</f>
        <v>46095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ROUND('[8]BS_KPMG'!$W$50,0)</f>
        <v>3075</v>
      </c>
      <c r="H62" s="196">
        <f>'[5]1-Баланс'!G62</f>
        <v>3186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'[5]1-Баланс'!G63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ROUND('[8]NoteBS'!$E$54+'[8]NoteBS'!$E$55+'[8]NoteBS'!$E$57+'[8]NoteBS'!$E$67+'[8]BS_KPMG'!$W$48,0)</f>
        <v>35585</v>
      </c>
      <c r="H64" s="196">
        <f>'[5]1-Баланс'!G64</f>
        <v>30906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4154</v>
      </c>
      <c r="D65" s="595">
        <f>SUM(D59:D64)</f>
        <v>3359</v>
      </c>
      <c r="E65" s="89" t="s">
        <v>201</v>
      </c>
      <c r="F65" s="93" t="s">
        <v>202</v>
      </c>
      <c r="G65" s="197"/>
      <c r="H65" s="196">
        <f>'[5]1-Баланс'!G65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7742</v>
      </c>
      <c r="H66" s="196">
        <f>'[5]1-Баланс'!G66</f>
        <v>7173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1191</v>
      </c>
      <c r="H67" s="196">
        <f>'[5]1-Баланс'!G67</f>
        <v>1045</v>
      </c>
    </row>
    <row r="68" spans="1:8" ht="15.75">
      <c r="A68" s="89" t="s">
        <v>206</v>
      </c>
      <c r="B68" s="91" t="s">
        <v>207</v>
      </c>
      <c r="C68" s="197">
        <f>'[8]BS_KPMG'!$W$21</f>
        <v>132</v>
      </c>
      <c r="D68" s="196">
        <f>'[5]1-Баланс'!C68</f>
        <v>107</v>
      </c>
      <c r="E68" s="89" t="s">
        <v>212</v>
      </c>
      <c r="F68" s="93" t="s">
        <v>213</v>
      </c>
      <c r="G68" s="197">
        <f>ROUND('[8]BS_KPMG'!$W$49+'[8]NoteBS'!$E$65+'[8]NoteBS'!$E$66,0)</f>
        <v>1726</v>
      </c>
      <c r="H68" s="196">
        <f>'[5]1-Баланс'!G68</f>
        <v>3785</v>
      </c>
    </row>
    <row r="69" spans="1:8" ht="15.75">
      <c r="A69" s="89" t="s">
        <v>210</v>
      </c>
      <c r="B69" s="91" t="s">
        <v>211</v>
      </c>
      <c r="C69" s="197">
        <f>'[8]BS_KPMG'!$W$19+'[8]BS_KPMG'!$W$20</f>
        <v>44565</v>
      </c>
      <c r="D69" s="196">
        <f>'[5]1-Баланс'!C69</f>
        <v>44792</v>
      </c>
      <c r="E69" s="201" t="s">
        <v>79</v>
      </c>
      <c r="F69" s="93" t="s">
        <v>216</v>
      </c>
      <c r="G69" s="197">
        <f>ROUND('[8]NoteBS'!$G$63+'[8]NoteBS'!$E$64+'[8]BS_KPMG'!$W$47+'[8]BS_KPMG'!$W$53+'[8]NoteBS'!$G$59,0)</f>
        <v>5213</v>
      </c>
      <c r="H69" s="196">
        <f>'[5]1-Баланс'!G69</f>
        <v>4412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ROUND('[8]BS_KPMG'!$W$52,0)</f>
        <v>3571</v>
      </c>
      <c r="H70" s="196">
        <f>'[5]1-Баланс'!G70</f>
        <v>3163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59721</v>
      </c>
      <c r="H71" s="595">
        <f>H59+H60+H61+H69+H70</f>
        <v>70396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'[8]BS_KPMG'!$W$22</f>
        <v>321</v>
      </c>
      <c r="D73" s="196">
        <f>'[3]1-Баланс'!C73</f>
        <v>0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45018</v>
      </c>
      <c r="D76" s="595">
        <f>SUM(D68:D75)</f>
        <v>44899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59721</v>
      </c>
      <c r="H79" s="597">
        <f>H71+H73+H75+H77</f>
        <v>70396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62</v>
      </c>
      <c r="D88" s="196">
        <f>'[5]1-Баланс'!C88</f>
        <v>61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ROUND('[8]NoteBS'!$E$43+'[8]IAS'!$G$19/1000,0)</f>
        <v>79879</v>
      </c>
      <c r="D89" s="196">
        <f>'[5]1-Баланс'!C89</f>
        <v>70476.76824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>
        <f>'[2]1-Баланс'!C90</f>
        <v>0</v>
      </c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>
        <f>'[2]1-Баланс'!C91</f>
        <v>0</v>
      </c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79941</v>
      </c>
      <c r="D92" s="595">
        <f>SUM(D88:D91)</f>
        <v>70537.76824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129113</v>
      </c>
      <c r="D94" s="599">
        <f>D65+D76+D85+D92+D93</f>
        <v>118795.76824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402817.01477999985</v>
      </c>
      <c r="D95" s="601">
        <f>D94+D56</f>
        <v>417741.4628700001</v>
      </c>
      <c r="E95" s="229" t="s">
        <v>942</v>
      </c>
      <c r="F95" s="486" t="s">
        <v>268</v>
      </c>
      <c r="G95" s="600">
        <f>G37+G40+G56+G79</f>
        <v>402817.41345</v>
      </c>
      <c r="H95" s="601">
        <f>H37+H40+H56+H79</f>
        <v>417741.41345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44650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D95-'[5]1-Баланс'!$C$95</f>
        <v>0</v>
      </c>
      <c r="C106" s="709"/>
      <c r="D106" s="709"/>
      <c r="E106" s="709"/>
    </row>
    <row r="107" spans="1:13" ht="21.75" customHeight="1">
      <c r="A107" s="707">
        <f>D95-H95</f>
        <v>0.049420000112149864</v>
      </c>
      <c r="B107" s="708">
        <f>'[8]BS_KPMG'!$W$26-C95</f>
        <v>-0.014779999852180481</v>
      </c>
      <c r="C107" s="709"/>
      <c r="D107" s="709"/>
      <c r="E107" s="709"/>
      <c r="M107" s="98"/>
    </row>
    <row r="108" spans="1:5" ht="21.75" customHeight="1">
      <c r="A108" s="693"/>
      <c r="B108" s="708">
        <f>G95-'[8]BS_KPMG'!$W$58</f>
        <v>0.4134499999927357</v>
      </c>
      <c r="C108" s="709"/>
      <c r="D108" s="709"/>
      <c r="E108" s="709"/>
    </row>
    <row r="109" spans="1:13" ht="21.75" customHeight="1">
      <c r="A109" s="693"/>
      <c r="B109" s="708">
        <f>H95-'[5]1-Баланс'!$G$95</f>
        <v>0</v>
      </c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2">
      <selection activeCell="C39" sqref="C39:C40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15432</v>
      </c>
      <c r="D12" s="316">
        <f>'[5]2-Отчет за доходите'!C12</f>
        <v>13499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40217</v>
      </c>
      <c r="D13" s="316">
        <f>'[5]2-Отчет за доходите'!C13</f>
        <v>41483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66258</v>
      </c>
      <c r="D14" s="316">
        <f>'[5]2-Отчет за доходите'!C14</f>
        <v>56956</v>
      </c>
      <c r="E14" s="245" t="s">
        <v>285</v>
      </c>
      <c r="F14" s="240" t="s">
        <v>286</v>
      </c>
      <c r="G14" s="316">
        <f>'[8]PL_KPMG'!$AK$5+'[8]PL_KPMG'!$AK$6</f>
        <v>195161</v>
      </c>
      <c r="H14" s="316">
        <f>'[5]2-Отчет за доходите'!G14</f>
        <v>184680</v>
      </c>
    </row>
    <row r="15" spans="1:8" ht="15.75">
      <c r="A15" s="194" t="s">
        <v>287</v>
      </c>
      <c r="B15" s="190" t="s">
        <v>288</v>
      </c>
      <c r="C15" s="316">
        <f>-'[8]PL_KPMG'!AK13</f>
        <v>29984</v>
      </c>
      <c r="D15" s="316">
        <f>'[5]2-Отчет за доходите'!C15</f>
        <v>29326</v>
      </c>
      <c r="E15" s="245" t="s">
        <v>79</v>
      </c>
      <c r="F15" s="240" t="s">
        <v>289</v>
      </c>
      <c r="G15" s="316">
        <f>'[8]PL_KPMG'!$AK$7</f>
        <v>16889</v>
      </c>
      <c r="H15" s="316">
        <f>'[5]2-Отчет за доходите'!G15</f>
        <v>20210</v>
      </c>
    </row>
    <row r="16" spans="1:8" ht="15.75">
      <c r="A16" s="194" t="s">
        <v>290</v>
      </c>
      <c r="B16" s="190" t="s">
        <v>291</v>
      </c>
      <c r="C16" s="316">
        <f>-'[8]PL_KPMG'!AK14</f>
        <v>7295</v>
      </c>
      <c r="D16" s="316">
        <f>'[5]2-Отчет за доходите'!C16</f>
        <v>7543</v>
      </c>
      <c r="E16" s="236" t="s">
        <v>52</v>
      </c>
      <c r="F16" s="264" t="s">
        <v>292</v>
      </c>
      <c r="G16" s="625">
        <f>SUM(G12:G15)</f>
        <v>212050</v>
      </c>
      <c r="H16" s="626">
        <f>SUM(H12:H15)</f>
        <v>204890</v>
      </c>
    </row>
    <row r="17" spans="1:8" ht="31.5">
      <c r="A17" s="194" t="s">
        <v>293</v>
      </c>
      <c r="B17" s="190" t="s">
        <v>294</v>
      </c>
      <c r="C17" s="316"/>
      <c r="D17" s="317">
        <f>'[5]2-Отчет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'[5]2-Отчет за доходите'!C18</f>
        <v>0</v>
      </c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8133</v>
      </c>
      <c r="D19" s="316">
        <f>'[5]2-Отчет за доходите'!C19</f>
        <v>16214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3000</v>
      </c>
      <c r="D20" s="316">
        <f>'[5]2-Отчет за доходите'!C20</f>
        <v>10218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('[8]S4'!$K$498+'[8]S4'!$K$501)/1000</f>
        <v>442.67189999999994</v>
      </c>
      <c r="D21" s="317">
        <f>'[5]2-Отчет за доходите'!C21</f>
        <v>600.7490600000001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167319</v>
      </c>
      <c r="D22" s="626">
        <f>SUM(D12:D18)+D19</f>
        <v>165021</v>
      </c>
      <c r="E22" s="194" t="s">
        <v>309</v>
      </c>
      <c r="F22" s="237" t="s">
        <v>310</v>
      </c>
      <c r="G22" s="316">
        <f>ROUND('[8]NoteP&amp;L'!$C$82/1000+'[8]NoteP&amp;L'!$C$84/1000,0)</f>
        <v>1</v>
      </c>
      <c r="H22" s="317">
        <f>'[5]2-Отчет за доходите'!G22</f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'[5]2-Отчет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'[5]2-Отчет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-ROUND(SUM('[8]NoteP&amp;L'!$C$90:$C$95)/1000,0)</f>
        <v>157</v>
      </c>
      <c r="D25" s="316">
        <f>'[5]2-Отчет за доходите'!C25</f>
        <v>724</v>
      </c>
      <c r="E25" s="194" t="s">
        <v>318</v>
      </c>
      <c r="F25" s="237" t="s">
        <v>319</v>
      </c>
      <c r="G25" s="316">
        <f>ROUND('[8]NoteP&amp;L'!$C$86/1000,0)</f>
        <v>1</v>
      </c>
      <c r="H25" s="317">
        <f>'[5]2-Отчет за доходите'!G25</f>
        <v>2</v>
      </c>
    </row>
    <row r="26" spans="1:8" ht="31.5">
      <c r="A26" s="194" t="s">
        <v>320</v>
      </c>
      <c r="B26" s="237" t="s">
        <v>321</v>
      </c>
      <c r="C26" s="316"/>
      <c r="D26" s="317">
        <f>'[5]2-Отчет за доходите'!C26</f>
        <v>0</v>
      </c>
      <c r="E26" s="194" t="s">
        <v>322</v>
      </c>
      <c r="F26" s="237" t="s">
        <v>323</v>
      </c>
      <c r="G26" s="316"/>
      <c r="H26" s="317">
        <f>'[5]2-Отчет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-ROUND('[8]NoteP&amp;L'!$C$97/1000,0)</f>
        <v>16</v>
      </c>
      <c r="D27" s="316">
        <f>'[5]2-Отчет за доходите'!C27</f>
        <v>262</v>
      </c>
      <c r="E27" s="236" t="s">
        <v>104</v>
      </c>
      <c r="F27" s="238" t="s">
        <v>326</v>
      </c>
      <c r="G27" s="625">
        <f>SUM(G22:G26)</f>
        <v>2</v>
      </c>
      <c r="H27" s="626">
        <f>SUM(H22:H26)</f>
        <v>4</v>
      </c>
    </row>
    <row r="28" spans="1:8" ht="15.75">
      <c r="A28" s="194" t="s">
        <v>79</v>
      </c>
      <c r="B28" s="237" t="s">
        <v>327</v>
      </c>
      <c r="C28" s="316">
        <f>-'[8]NoteP&amp;L'!$C$96/1000+'[8]NoteP&amp;L'!$C$98</f>
        <v>703.26996</v>
      </c>
      <c r="D28" s="316">
        <f>'[5]2-Отчет за доходите'!C28</f>
        <v>12.3177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876.26996</v>
      </c>
      <c r="D29" s="626">
        <f>SUM(D25:D28)</f>
        <v>998.3177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168195.26996</v>
      </c>
      <c r="D31" s="632">
        <f>D29+D22</f>
        <v>166019.3177</v>
      </c>
      <c r="E31" s="251" t="s">
        <v>824</v>
      </c>
      <c r="F31" s="266" t="s">
        <v>331</v>
      </c>
      <c r="G31" s="253">
        <f>G16+G18+G27</f>
        <v>212052</v>
      </c>
      <c r="H31" s="254">
        <f>H16+H18+H27</f>
        <v>204894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43856.730039999995</v>
      </c>
      <c r="D33" s="244">
        <f>IF((H31-D31)&gt;0,H31-D31,0)</f>
        <v>38874.682299999986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168195.26996</v>
      </c>
      <c r="D36" s="634">
        <f>D31-D34+D35</f>
        <v>166019.3177</v>
      </c>
      <c r="E36" s="262" t="s">
        <v>346</v>
      </c>
      <c r="F36" s="256" t="s">
        <v>347</v>
      </c>
      <c r="G36" s="267">
        <f>G35-G34+G31</f>
        <v>212052</v>
      </c>
      <c r="H36" s="268">
        <f>H35-H34+H31</f>
        <v>204894</v>
      </c>
    </row>
    <row r="37" spans="1:8" ht="15.75">
      <c r="A37" s="261" t="s">
        <v>348</v>
      </c>
      <c r="B37" s="231" t="s">
        <v>349</v>
      </c>
      <c r="C37" s="631">
        <f>IF((G36-C36)&gt;0,G36-C36,0)</f>
        <v>43856.730039999995</v>
      </c>
      <c r="D37" s="632">
        <f>IF((H36-D36)&gt;0,H36-D36,0)</f>
        <v>38874.682299999986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4420</v>
      </c>
      <c r="D38" s="626">
        <f>D39+D40+D41</f>
        <v>4335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ROUND('[8]IAS'!$F$113/1000,0)</f>
        <v>5007</v>
      </c>
      <c r="D39" s="317">
        <f>'[5]2-Отчет за доходите'!C39</f>
        <v>5192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ROUND('[8]IAS'!$F$115/1000,0)</f>
        <v>-587</v>
      </c>
      <c r="D40" s="317">
        <f>'[5]2-Отчет за доходите'!C40</f>
        <v>-857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'[5]2-Отчет за доходите'!C41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39436.730039999995</v>
      </c>
      <c r="D42" s="244">
        <f>+IF((H36-D36-D38)&gt;0,H36-D36-D38,0)</f>
        <v>34539.682299999986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39436.730039999995</v>
      </c>
      <c r="D44" s="268">
        <f>IF(H42=0,IF(D42-D43&gt;0,D42-D43+H43,0),IF(H42-H43&lt;0,H43-H42+D42,0))</f>
        <v>34539.682299999986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212052</v>
      </c>
      <c r="D45" s="628">
        <f>D36+D38+D42</f>
        <v>204894</v>
      </c>
      <c r="E45" s="270" t="s">
        <v>373</v>
      </c>
      <c r="F45" s="272" t="s">
        <v>374</v>
      </c>
      <c r="G45" s="627">
        <f>G42+G36</f>
        <v>212052</v>
      </c>
      <c r="H45" s="628">
        <f>H42+H36</f>
        <v>204894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44650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>
        <f>D45-'[3]2-Отчет за доходите'!$C$45</f>
        <v>-1356</v>
      </c>
      <c r="C58" s="709"/>
      <c r="D58" s="709"/>
      <c r="E58" s="709"/>
      <c r="F58" s="571"/>
      <c r="G58" s="45"/>
      <c r="H58" s="42"/>
    </row>
    <row r="59" spans="1:8" ht="15.75">
      <c r="A59" s="693"/>
      <c r="B59" s="708">
        <f>H45-'[3]2-Отчет за доходите'!$G$45</f>
        <v>-1356</v>
      </c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ROUND('[7]Cash Flow LBE 2016'!$Q$12,0)</f>
        <v>229961</v>
      </c>
      <c r="D11" s="196">
        <f>'[5]3-Отчет за паричния поток'!C11</f>
        <v>214667.23880000002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f>'[5]3-Отчет за паричния поток'!C12</f>
        <v>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>
        <f>'[5]3-Отчет за паричния поток'!C13</f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ROUND('[7]Cash Flow LBE 2016'!$Q$14,0)</f>
        <v>-36683</v>
      </c>
      <c r="D14" s="196">
        <f>'[5]3-Отчет за паричния поток'!C14</f>
        <v>-35517.96414999999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ROUND(SUM('[7]Cash Flow LBE 2016'!$Q$37:$Q$38),0)</f>
        <v>-22754</v>
      </c>
      <c r="D15" s="196">
        <f>'[5]3-Отчет за паричния поток'!C15</f>
        <v>-22085.55806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ROUND('[7]Cash Flow LBE 2016'!$Q$36,0)</f>
        <v>-7182</v>
      </c>
      <c r="D16" s="196">
        <f>'[5]3-Отчет за паричния поток'!C16</f>
        <v>-3855.8701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f>'[5]3-Отчет за паричния поток'!C17</f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f>'[5]3-Отчет за паричния поток'!C18</f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f>'[5]3-Отчет за паричния поток'!C19</f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ROUND(SUM('[7]Cash Flow LBE 2016'!$Q$15:$Q$22)+'[7]Cash Flow LBE 2016'!$Q$30-11.7-1,0)</f>
        <v>-58373</v>
      </c>
      <c r="D20" s="196">
        <f>'[5]3-Отчет за паричния поток'!C20</f>
        <v>-69844.22682200001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104969</v>
      </c>
      <c r="D21" s="656">
        <f>SUM(D11:D20)</f>
        <v>83363.61966800001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ROUND('[7]Cash Flow LBE 2016'!$Q$34,0)</f>
        <v>-38467</v>
      </c>
      <c r="D23" s="196">
        <f>'[5]3-Отчет за паричния поток'!$C$23</f>
        <v>-39040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-38467</v>
      </c>
      <c r="D33" s="656">
        <f>SUM(D23:D32)</f>
        <v>-39040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'[5]3-Отчет за паричния поток'!C37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ROUND('[7]Cash Flow LBE 2016'!$Q$49,0)</f>
        <v>-22458</v>
      </c>
      <c r="D38" s="196">
        <f>'[5]3-Отчет за паричния поток'!C38</f>
        <v>-22391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ROUND('[7]Cash Flow LBE 2016'!$Q$47,0)</f>
        <v>-421</v>
      </c>
      <c r="D39" s="196">
        <f>'[5]3-Отчет за паричния поток'!C39</f>
        <v>-906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ROUND('[7]Cash Flow LBE 2016'!$Q$41+'[7]Cash Flow LBE 2016'!$Q$44,0)</f>
        <v>-25</v>
      </c>
      <c r="D40" s="196">
        <f>'[5]3-Отчет за паричния поток'!C40</f>
        <v>-488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f>ROUND('[9]Cash Flow LBE 2021'!$O$54,0)</f>
        <v>-34195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'[6]3-Отчет за паричния поток'!$C$42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-57099</v>
      </c>
      <c r="D43" s="658">
        <f>SUM(D35:D42)</f>
        <v>-23785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9403</v>
      </c>
      <c r="D44" s="307">
        <f>D43+D33+D21</f>
        <v>20538.619668000014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'1-Баланс'!D92</f>
        <v>70537.76824</v>
      </c>
      <c r="D45" s="309">
        <f>'[5]1-Баланс'!E92</f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79940.76824</v>
      </c>
      <c r="D46" s="311">
        <f>D45+D44</f>
        <v>20538.619668000014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79940.76824</v>
      </c>
      <c r="D47" s="298">
        <f>'[5]3-Отчет за паричния поток'!C47</f>
        <v>70537.549918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'[4]50'!$F$27/1000</f>
        <v>1454.7682399999999</v>
      </c>
      <c r="D48" s="281">
        <f>'[5]3-Отчет за паричния поток'!C48</f>
        <v>1454.7682399999999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44650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/>
      <c r="C60" s="709"/>
      <c r="D60" s="709"/>
      <c r="E60" s="709"/>
      <c r="F60" s="571"/>
      <c r="G60" s="45"/>
      <c r="H60" s="42"/>
    </row>
    <row r="61" spans="1:8" ht="15.75">
      <c r="A61" s="693"/>
      <c r="B61" s="708"/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/>
      <c r="C63" s="709"/>
      <c r="D63" s="709"/>
      <c r="E63" s="709"/>
      <c r="F63" s="571"/>
      <c r="G63" s="45"/>
      <c r="H63" s="42"/>
    </row>
    <row r="64" spans="1:8" ht="15.75">
      <c r="A64" s="693"/>
      <c r="B64" s="708">
        <f>C46-'[7]Cash Flow LBE 2016'!$Q$56</f>
        <v>-12.594640666633495</v>
      </c>
      <c r="C64" s="709"/>
      <c r="D64" s="709"/>
      <c r="E64" s="709"/>
      <c r="F64" s="571"/>
      <c r="G64" s="45"/>
      <c r="H64" s="42"/>
    </row>
    <row r="65" spans="1:8" ht="15.75">
      <c r="A65" s="693"/>
      <c r="B65" s="708">
        <f>C46-'1-Баланс'!C92</f>
        <v>-0.23175999999511987</v>
      </c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-550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309408.41345</v>
      </c>
      <c r="J13" s="581">
        <f>'1-Баланс'!H30+'1-Баланс'!H33</f>
        <v>0</v>
      </c>
      <c r="K13" s="582"/>
      <c r="L13" s="581">
        <f>SUM(C13:K13)</f>
        <v>328516.41345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-550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309408.41345</v>
      </c>
      <c r="J17" s="650">
        <f t="shared" si="2"/>
        <v>0</v>
      </c>
      <c r="K17" s="650">
        <f t="shared" si="2"/>
        <v>0</v>
      </c>
      <c r="L17" s="581">
        <f t="shared" si="1"/>
        <v>328516.41345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39437</v>
      </c>
      <c r="J18" s="581">
        <f>+'1-Баланс'!G33</f>
        <v>0</v>
      </c>
      <c r="K18" s="582"/>
      <c r="L18" s="581">
        <f t="shared" si="1"/>
        <v>39437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-34195</v>
      </c>
      <c r="J19" s="168">
        <f>J20+J21</f>
        <v>0</v>
      </c>
      <c r="K19" s="168">
        <f t="shared" si="3"/>
        <v>0</v>
      </c>
      <c r="L19" s="581">
        <f t="shared" si="1"/>
        <v>-34195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>
        <v>-34195</v>
      </c>
      <c r="J20" s="316"/>
      <c r="K20" s="316"/>
      <c r="L20" s="581">
        <f>SUM(C20:K20)</f>
        <v>-34195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-44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-44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>
        <v>-44</v>
      </c>
      <c r="F27" s="316"/>
      <c r="G27" s="316"/>
      <c r="H27" s="316"/>
      <c r="I27" s="316"/>
      <c r="J27" s="316"/>
      <c r="K27" s="316"/>
      <c r="L27" s="581">
        <f t="shared" si="1"/>
        <v>-44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-594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314650.41345</v>
      </c>
      <c r="J31" s="650">
        <f t="shared" si="6"/>
        <v>0</v>
      </c>
      <c r="K31" s="650">
        <f t="shared" si="6"/>
        <v>0</v>
      </c>
      <c r="L31" s="581">
        <f t="shared" si="1"/>
        <v>333714.41345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-594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314650.41345</v>
      </c>
      <c r="J34" s="584">
        <f t="shared" si="7"/>
        <v>0</v>
      </c>
      <c r="K34" s="584">
        <f t="shared" si="7"/>
        <v>0</v>
      </c>
      <c r="L34" s="648">
        <f t="shared" si="1"/>
        <v>333714.41345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44650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998</v>
      </c>
      <c r="B12" s="677" t="s">
        <v>109</v>
      </c>
      <c r="C12" s="92">
        <v>5</v>
      </c>
      <c r="D12" s="92" t="s">
        <v>999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44650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A16">
      <selection activeCell="K45" sqref="K45:R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18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</row>
    <row r="12" spans="1:18" ht="15.75">
      <c r="A12" s="337" t="s">
        <v>524</v>
      </c>
      <c r="B12" s="321" t="s">
        <v>525</v>
      </c>
      <c r="C12" s="152" t="s">
        <v>526</v>
      </c>
      <c r="D12" s="698">
        <v>8564</v>
      </c>
      <c r="E12" s="698">
        <v>376.70390000000003</v>
      </c>
      <c r="F12" s="698">
        <v>2866.33655</v>
      </c>
      <c r="G12" s="699">
        <f aca="true" t="shared" si="2" ref="G12:G41">D12+E12-F12</f>
        <v>6074.36735</v>
      </c>
      <c r="H12" s="328"/>
      <c r="I12" s="328"/>
      <c r="J12" s="699">
        <f aca="true" t="shared" si="3" ref="J12:J26">G12+H12-I12</f>
        <v>6074.36735</v>
      </c>
      <c r="K12" s="698">
        <v>4493</v>
      </c>
      <c r="L12" s="698">
        <v>1423.0076199999999</v>
      </c>
      <c r="M12" s="698">
        <v>2866.33655</v>
      </c>
      <c r="N12" s="699">
        <f aca="true" t="shared" si="4" ref="N12:N41">K12+L12-M12</f>
        <v>3049.6710700000003</v>
      </c>
      <c r="O12" s="328"/>
      <c r="P12" s="328"/>
      <c r="Q12" s="699">
        <f t="shared" si="0"/>
        <v>3049.6710700000003</v>
      </c>
      <c r="R12" s="701">
        <f t="shared" si="1"/>
        <v>3024.69628</v>
      </c>
    </row>
    <row r="13" spans="1:18" ht="15.75">
      <c r="A13" s="337" t="s">
        <v>527</v>
      </c>
      <c r="B13" s="321" t="s">
        <v>528</v>
      </c>
      <c r="C13" s="152" t="s">
        <v>529</v>
      </c>
      <c r="D13" s="698">
        <v>39215.22298</v>
      </c>
      <c r="E13" s="698">
        <v>1850.9984</v>
      </c>
      <c r="F13" s="698">
        <v>734.61754</v>
      </c>
      <c r="G13" s="699">
        <f t="shared" si="2"/>
        <v>40331.603839999996</v>
      </c>
      <c r="H13" s="328"/>
      <c r="I13" s="328"/>
      <c r="J13" s="699">
        <f t="shared" si="3"/>
        <v>40331.603839999996</v>
      </c>
      <c r="K13" s="698">
        <v>30326.15492</v>
      </c>
      <c r="L13" s="698">
        <v>3065.5938100000003</v>
      </c>
      <c r="M13" s="698">
        <v>715.4891</v>
      </c>
      <c r="N13" s="699">
        <f t="shared" si="4"/>
        <v>32676.25963</v>
      </c>
      <c r="O13" s="328"/>
      <c r="P13" s="328"/>
      <c r="Q13" s="699">
        <f t="shared" si="0"/>
        <v>32676.25963</v>
      </c>
      <c r="R13" s="701">
        <f t="shared" si="1"/>
        <v>7655.344209999996</v>
      </c>
    </row>
    <row r="14" spans="1:18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</row>
    <row r="15" spans="1:18" ht="15.75">
      <c r="A15" s="337" t="s">
        <v>533</v>
      </c>
      <c r="B15" s="321" t="s">
        <v>534</v>
      </c>
      <c r="C15" s="152" t="s">
        <v>535</v>
      </c>
      <c r="D15" s="698">
        <v>19942.50808</v>
      </c>
      <c r="E15" s="698">
        <v>1884.23828</v>
      </c>
      <c r="F15" s="698">
        <v>179.37564</v>
      </c>
      <c r="G15" s="699">
        <f t="shared" si="2"/>
        <v>21647.370720000003</v>
      </c>
      <c r="H15" s="328"/>
      <c r="I15" s="328"/>
      <c r="J15" s="699">
        <f t="shared" si="3"/>
        <v>21647.370720000003</v>
      </c>
      <c r="K15" s="698">
        <v>13050.26736</v>
      </c>
      <c r="L15" s="698">
        <v>1703.4970899999998</v>
      </c>
      <c r="M15" s="698">
        <v>156.16085</v>
      </c>
      <c r="N15" s="699">
        <f t="shared" si="4"/>
        <v>14597.603599999999</v>
      </c>
      <c r="O15" s="328"/>
      <c r="P15" s="328"/>
      <c r="Q15" s="699">
        <f t="shared" si="0"/>
        <v>14597.603599999999</v>
      </c>
      <c r="R15" s="701">
        <f t="shared" si="1"/>
        <v>7049.767120000004</v>
      </c>
    </row>
    <row r="16" spans="1:18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4450.781239999999</v>
      </c>
      <c r="F17" s="698">
        <v>4450.781239999999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698">
        <v>2115</v>
      </c>
      <c r="E18" s="698">
        <v>716.54456</v>
      </c>
      <c r="F18" s="698">
        <v>0</v>
      </c>
      <c r="G18" s="699">
        <f t="shared" si="2"/>
        <v>2831.5445600000003</v>
      </c>
      <c r="H18" s="328"/>
      <c r="I18" s="328"/>
      <c r="J18" s="699">
        <f t="shared" si="3"/>
        <v>2831.5445600000003</v>
      </c>
      <c r="K18" s="698">
        <v>1373</v>
      </c>
      <c r="L18" s="698">
        <v>141.22324</v>
      </c>
      <c r="M18" s="698">
        <v>0</v>
      </c>
      <c r="N18" s="699">
        <f t="shared" si="4"/>
        <v>1514.22324</v>
      </c>
      <c r="O18" s="328"/>
      <c r="P18" s="328"/>
      <c r="Q18" s="699">
        <f t="shared" si="0"/>
        <v>1514.22324</v>
      </c>
      <c r="R18" s="701">
        <f t="shared" si="1"/>
        <v>1317.3213200000002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70021.73105999999</v>
      </c>
      <c r="E19" s="700">
        <f>SUM(E11:E18)</f>
        <v>9279.26638</v>
      </c>
      <c r="F19" s="700">
        <f>SUM(F11:F18)</f>
        <v>8231.11097</v>
      </c>
      <c r="G19" s="703">
        <f t="shared" si="2"/>
        <v>71069.88647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71069.88647</v>
      </c>
      <c r="K19" s="700">
        <f>SUM(K11:K18)</f>
        <v>49242.42228</v>
      </c>
      <c r="L19" s="700">
        <f>SUM(L11:L18)</f>
        <v>6333.321760000001</v>
      </c>
      <c r="M19" s="700">
        <f>SUM(M11:M18)</f>
        <v>3737.9865</v>
      </c>
      <c r="N19" s="703">
        <f t="shared" si="4"/>
        <v>51837.75754</v>
      </c>
      <c r="O19" s="330">
        <f>SUM(O11:O18)</f>
        <v>0</v>
      </c>
      <c r="P19" s="330">
        <f>SUM(P11:P18)</f>
        <v>0</v>
      </c>
      <c r="Q19" s="703">
        <f t="shared" si="0"/>
        <v>51837.75754</v>
      </c>
      <c r="R19" s="704">
        <f t="shared" si="1"/>
        <v>19232.12893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>
        <v>0</v>
      </c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24141.47518</v>
      </c>
      <c r="E24" s="698">
        <v>2517</v>
      </c>
      <c r="F24" s="698"/>
      <c r="G24" s="699">
        <f t="shared" si="2"/>
        <v>26658.47518</v>
      </c>
      <c r="H24" s="698"/>
      <c r="I24" s="698"/>
      <c r="J24" s="699">
        <f t="shared" si="3"/>
        <v>26658.47518</v>
      </c>
      <c r="K24" s="698">
        <v>18198.54205</v>
      </c>
      <c r="L24" s="698">
        <v>962.59712</v>
      </c>
      <c r="M24" s="698"/>
      <c r="N24" s="699">
        <f t="shared" si="4"/>
        <v>19161.13917</v>
      </c>
      <c r="O24" s="698"/>
      <c r="P24" s="698"/>
      <c r="Q24" s="699">
        <f t="shared" si="0"/>
        <v>19161.13917</v>
      </c>
      <c r="R24" s="701">
        <f t="shared" si="1"/>
        <v>7497.336010000003</v>
      </c>
      <c r="S24" s="124"/>
      <c r="T24" s="124"/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21038.473839999995</v>
      </c>
      <c r="L25" s="698"/>
      <c r="M25" s="698"/>
      <c r="N25" s="699">
        <f t="shared" si="4"/>
        <v>21038.473839999995</v>
      </c>
      <c r="O25" s="698"/>
      <c r="P25" s="698"/>
      <c r="Q25" s="699">
        <f t="shared" si="0"/>
        <v>21038.473839999995</v>
      </c>
      <c r="R25" s="701">
        <f t="shared" si="1"/>
        <v>2.526160000004893</v>
      </c>
      <c r="S25" s="124"/>
      <c r="T25" s="124"/>
    </row>
    <row r="26" spans="1:20" ht="15.75">
      <c r="A26" s="337" t="s">
        <v>530</v>
      </c>
      <c r="B26" s="157" t="s">
        <v>542</v>
      </c>
      <c r="C26" s="152" t="s">
        <v>558</v>
      </c>
      <c r="D26" s="698">
        <v>610394.52482</v>
      </c>
      <c r="E26" s="698">
        <v>78322.63822999985</v>
      </c>
      <c r="F26" s="698">
        <v>45165.07626000001</v>
      </c>
      <c r="G26" s="699">
        <f t="shared" si="2"/>
        <v>643552.0867899999</v>
      </c>
      <c r="H26" s="698"/>
      <c r="I26" s="698"/>
      <c r="J26" s="699">
        <f t="shared" si="3"/>
        <v>643552.0867899999</v>
      </c>
      <c r="K26" s="698">
        <v>348096.72598</v>
      </c>
      <c r="L26" s="698">
        <v>58963.26686999999</v>
      </c>
      <c r="M26" s="698">
        <v>0</v>
      </c>
      <c r="N26" s="699">
        <f t="shared" si="4"/>
        <v>407059.99285</v>
      </c>
      <c r="O26" s="698"/>
      <c r="P26" s="698"/>
      <c r="Q26" s="699">
        <f t="shared" si="0"/>
        <v>407059.99285</v>
      </c>
      <c r="R26" s="701">
        <f t="shared" si="1"/>
        <v>236492.09393999988</v>
      </c>
      <c r="S26" s="124"/>
      <c r="T26" s="124"/>
    </row>
    <row r="27" spans="1:23" ht="15.75">
      <c r="A27" s="337"/>
      <c r="B27" s="322" t="s">
        <v>559</v>
      </c>
      <c r="C27" s="158" t="s">
        <v>560</v>
      </c>
      <c r="D27" s="702">
        <f>SUM(D24:D26)</f>
        <v>655577</v>
      </c>
      <c r="E27" s="702">
        <f>SUM(E24:E26)</f>
        <v>80839.63822999985</v>
      </c>
      <c r="F27" s="702">
        <f>SUM(F24:F26)</f>
        <v>45165.07626000001</v>
      </c>
      <c r="G27" s="705">
        <f t="shared" si="2"/>
        <v>691251.5619699998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691251.5619699998</v>
      </c>
      <c r="K27" s="702">
        <f>SUM(K24:K26)</f>
        <v>387333.74186999997</v>
      </c>
      <c r="L27" s="702">
        <f>SUM(L24:L26)</f>
        <v>59925.86398999999</v>
      </c>
      <c r="M27" s="702">
        <f>SUM(M24:M26)</f>
        <v>0</v>
      </c>
      <c r="N27" s="705">
        <f t="shared" si="4"/>
        <v>447259.60585999995</v>
      </c>
      <c r="O27" s="702">
        <f t="shared" si="6"/>
        <v>0</v>
      </c>
      <c r="P27" s="702">
        <f t="shared" si="6"/>
        <v>0</v>
      </c>
      <c r="Q27" s="705">
        <f t="shared" si="0"/>
        <v>447259.60585999995</v>
      </c>
      <c r="R27" s="706">
        <f>SUM(R24:R26)</f>
        <v>243991.95610999988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732991.73106</v>
      </c>
      <c r="E42" s="346">
        <f>E19+E20+E21+E27+E40+E41</f>
        <v>90118.90460999985</v>
      </c>
      <c r="F42" s="346">
        <f aca="true" t="shared" si="12" ref="F42:R42">F19+F20+F21+F27+F40+F41</f>
        <v>53396.18723000001</v>
      </c>
      <c r="G42" s="346">
        <f t="shared" si="12"/>
        <v>769714.4484399998</v>
      </c>
      <c r="H42" s="346">
        <f t="shared" si="12"/>
        <v>0</v>
      </c>
      <c r="I42" s="346">
        <f t="shared" si="12"/>
        <v>0</v>
      </c>
      <c r="J42" s="346">
        <f t="shared" si="12"/>
        <v>769714.4484399998</v>
      </c>
      <c r="K42" s="346">
        <f t="shared" si="12"/>
        <v>443969.16414999997</v>
      </c>
      <c r="L42" s="346">
        <f t="shared" si="12"/>
        <v>66259.18574999999</v>
      </c>
      <c r="M42" s="346">
        <f t="shared" si="12"/>
        <v>3737.9865</v>
      </c>
      <c r="N42" s="346">
        <f t="shared" si="12"/>
        <v>506490.3634</v>
      </c>
      <c r="O42" s="346">
        <f t="shared" si="12"/>
        <v>0</v>
      </c>
      <c r="P42" s="346">
        <f t="shared" si="12"/>
        <v>0</v>
      </c>
      <c r="Q42" s="346">
        <f t="shared" si="12"/>
        <v>506490.3634</v>
      </c>
      <c r="R42" s="347">
        <f t="shared" si="12"/>
        <v>263224.08503999986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44650</v>
      </c>
      <c r="D45" s="710"/>
      <c r="E45" s="710"/>
      <c r="F45" s="710"/>
      <c r="G45" s="710"/>
      <c r="H45" s="710"/>
      <c r="I45" s="710"/>
      <c r="J45" s="521"/>
      <c r="K45" s="521">
        <f>D19-K19</f>
        <v>20779.308779999992</v>
      </c>
      <c r="L45" s="523"/>
      <c r="M45" s="523"/>
      <c r="N45" s="523"/>
      <c r="O45" s="523"/>
      <c r="P45" s="523"/>
      <c r="Q45" s="523"/>
      <c r="R45" s="521">
        <f>J19-Q19</f>
        <v>19232.12893</v>
      </c>
    </row>
    <row r="46" spans="2:18" ht="15.75">
      <c r="B46" s="691"/>
      <c r="C46" s="52"/>
      <c r="D46" s="52"/>
      <c r="E46" s="52"/>
      <c r="F46" s="52"/>
      <c r="G46" s="52"/>
      <c r="H46" s="52"/>
      <c r="I46" s="52"/>
      <c r="J46" s="124"/>
      <c r="K46" s="124">
        <f>D27-K27</f>
        <v>268243.25813000003</v>
      </c>
      <c r="R46" s="124">
        <f>J27-Q27</f>
        <v>243991.95610999985</v>
      </c>
    </row>
    <row r="47" spans="2:10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</row>
    <row r="48" spans="2:10" ht="15.75">
      <c r="B48" s="692"/>
      <c r="C48" s="80"/>
      <c r="D48" s="80"/>
      <c r="E48" s="80"/>
      <c r="F48" s="80"/>
      <c r="G48" s="80"/>
      <c r="H48" s="80"/>
      <c r="I48" s="80"/>
      <c r="J48" s="124"/>
    </row>
    <row r="49" spans="2:9" ht="15.75">
      <c r="B49" s="692" t="s">
        <v>920</v>
      </c>
      <c r="C49" s="712"/>
      <c r="D49" s="712"/>
      <c r="E49" s="712"/>
      <c r="F49" s="712"/>
      <c r="G49" s="712"/>
      <c r="H49" s="712"/>
      <c r="I49" s="712"/>
    </row>
    <row r="50" spans="2:9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</row>
    <row r="51" spans="2:9" ht="15.75">
      <c r="B51" s="693"/>
      <c r="C51" s="709" t="s">
        <v>979</v>
      </c>
      <c r="D51" s="709"/>
      <c r="E51" s="709"/>
      <c r="F51" s="709"/>
      <c r="G51" s="571"/>
      <c r="H51" s="45"/>
      <c r="I51" s="42"/>
    </row>
    <row r="52" spans="2:9" ht="15.75">
      <c r="B52" s="693"/>
      <c r="C52" s="709" t="s">
        <v>979</v>
      </c>
      <c r="D52" s="709"/>
      <c r="E52" s="709"/>
      <c r="F52" s="709"/>
      <c r="G52" s="571"/>
      <c r="H52" s="45"/>
      <c r="I52" s="42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2">
      <selection activeCell="C67" sqref="C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123.92974000000022</v>
      </c>
      <c r="D18" s="359">
        <f>+D19+D20</f>
        <v>0</v>
      </c>
      <c r="E18" s="366">
        <f t="shared" si="0"/>
        <v>123.92974000000022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123.92974000000022</v>
      </c>
      <c r="D20" s="365"/>
      <c r="E20" s="366">
        <f t="shared" si="0"/>
        <v>123.92974000000022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123.92974000000022</v>
      </c>
      <c r="D21" s="437">
        <f>D13+D17+D18</f>
        <v>0</v>
      </c>
      <c r="E21" s="438">
        <f>E13+E17+E18</f>
        <v>123.92974000000022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10351</v>
      </c>
      <c r="D23" s="440"/>
      <c r="E23" s="439">
        <f t="shared" si="0"/>
        <v>10351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132</v>
      </c>
      <c r="D26" s="359">
        <f>SUM(D27:D29)</f>
        <v>132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132</v>
      </c>
      <c r="D29" s="365">
        <f>C29</f>
        <v>132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44565</v>
      </c>
      <c r="D30" s="365">
        <f>C30</f>
        <v>44565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321</v>
      </c>
      <c r="D35" s="359">
        <f>SUM(D36:D39)</f>
        <v>321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321</v>
      </c>
      <c r="D37" s="365">
        <f>C37</f>
        <v>321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45018</v>
      </c>
      <c r="D45" s="435">
        <f>D26+D30+D31+D33+D32+D34+D35+D40</f>
        <v>45018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55492.92974</v>
      </c>
      <c r="D46" s="441">
        <f>D45+D23+D21+D11</f>
        <v>45018</v>
      </c>
      <c r="E46" s="442">
        <f>E45+E23+E21+E11</f>
        <v>10474.92974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'1-Баланс'!G49+'[8]BS_KPMG'!$W$37+'[8]BS_KPMG'!$W$46</f>
        <v>11000</v>
      </c>
      <c r="D66" s="197">
        <f>D67</f>
        <v>1618</v>
      </c>
      <c r="E66" s="136">
        <f t="shared" si="1"/>
        <v>9382</v>
      </c>
      <c r="F66" s="196"/>
    </row>
    <row r="67" spans="1:6" ht="15.75">
      <c r="A67" s="367" t="s">
        <v>684</v>
      </c>
      <c r="B67" s="135" t="s">
        <v>685</v>
      </c>
      <c r="C67" s="197">
        <f>'[8]BS_KPMG'!$W$38+'[8]BS_KPMG'!$W$46</f>
        <v>3193</v>
      </c>
      <c r="D67" s="197">
        <f>'[8]BS_KPMG'!$W$46</f>
        <v>1618</v>
      </c>
      <c r="E67" s="136">
        <f t="shared" si="1"/>
        <v>1575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11000</v>
      </c>
      <c r="D68" s="432">
        <f>D54+D58+D63+D64+D65+D66</f>
        <v>1618</v>
      </c>
      <c r="E68" s="433">
        <f t="shared" si="1"/>
        <v>9382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3075</v>
      </c>
      <c r="D73" s="137">
        <f>SUM(D74:D76)</f>
        <v>3075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3075</v>
      </c>
      <c r="D76" s="197">
        <f>C76</f>
        <v>3075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46244</v>
      </c>
      <c r="D87" s="134">
        <f>SUM(D88:D92)+D96</f>
        <v>46244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35585</v>
      </c>
      <c r="D89" s="197">
        <f>C89</f>
        <v>35585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7742</v>
      </c>
      <c r="D91" s="197">
        <f>C91</f>
        <v>7742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1726</v>
      </c>
      <c r="D92" s="138">
        <f>SUM(D93:D95)</f>
        <v>1726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>
        <f>ROUND('[8]BS_KPMG'!$W$49,0)</f>
        <v>0</v>
      </c>
      <c r="D93" s="197">
        <f>C93</f>
        <v>0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>
        <f>ROUND('[8]NoteBS'!$E$65,0)</f>
        <v>1478</v>
      </c>
      <c r="D94" s="197">
        <f>C94</f>
        <v>1478</v>
      </c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f>ROUND('[8]NoteBS'!$E$66,0)</f>
        <v>248</v>
      </c>
      <c r="D95" s="197">
        <f>C95</f>
        <v>248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1191</v>
      </c>
      <c r="D96" s="197">
        <f>C96</f>
        <v>1191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5213</v>
      </c>
      <c r="D97" s="197">
        <f>C97</f>
        <v>5213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54532</v>
      </c>
      <c r="D98" s="430">
        <f>D87+D82+D77+D73+D97</f>
        <v>54532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65532</v>
      </c>
      <c r="D99" s="424">
        <f>D98+D70+D68</f>
        <v>56150</v>
      </c>
      <c r="E99" s="424">
        <f>E98+E70+E68</f>
        <v>9382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ROUND('[8]NoteBS'!$C$108+'[8]NoteBS'!$C$107,0)</f>
        <v>1709</v>
      </c>
      <c r="D104" s="216">
        <f>ROUND('[8]NoteBS'!$D$108,0)</f>
        <v>238</v>
      </c>
      <c r="E104" s="216">
        <f>ROUND(-'[8]NoteBS'!$E$108-'[8]NoteBS'!$F$108,0)</f>
        <v>175</v>
      </c>
      <c r="F104" s="418">
        <f>C104+D104-E104</f>
        <v>1772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>
        <f>ROUND('[8]NoteBS'!$C$109,0)</f>
        <v>1454</v>
      </c>
      <c r="D106" s="280">
        <f>ROUND('[8]NoteBS'!$D$109,0)</f>
        <v>345</v>
      </c>
      <c r="E106" s="280"/>
      <c r="F106" s="420">
        <f>C106+D106-E106</f>
        <v>1799</v>
      </c>
    </row>
    <row r="107" spans="1:6" ht="16.5" thickBot="1">
      <c r="A107" s="415" t="s">
        <v>752</v>
      </c>
      <c r="B107" s="421" t="s">
        <v>753</v>
      </c>
      <c r="C107" s="422">
        <f>SUM(C104:C106)</f>
        <v>3163</v>
      </c>
      <c r="D107" s="422">
        <f>SUM(D104:D106)</f>
        <v>583</v>
      </c>
      <c r="E107" s="422">
        <f>SUM(E104:E106)</f>
        <v>175</v>
      </c>
      <c r="F107" s="423">
        <f>SUM(F104:F106)</f>
        <v>3571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44650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/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69103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69103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44650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2022-03-30T12:05:56Z</dcterms:modified>
  <cp:category/>
  <cp:version/>
  <cp:contentType/>
  <cp:contentStatus/>
</cp:coreProperties>
</file>