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<sst xmlns="http://schemas.openxmlformats.org/spreadsheetml/2006/main" count="4179" uniqueCount="974">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</sst>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Trial%20Balance_Y20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Consolidation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CONSOLIDATE\FO_SV_2017_conso_fu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Conso_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FO_SV_062018_sepat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Consolidation_06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conso_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2">
          <cell r="X72">
            <v>-215228</v>
          </cell>
        </row>
      </sheetData>
      <sheetData sheetId="3">
        <row r="32">
          <cell r="I32">
            <v>-348</v>
          </cell>
        </row>
      </sheetData>
      <sheetData sheetId="4">
        <row r="7">
          <cell r="M7">
            <v>158224</v>
          </cell>
          <cell r="N7">
            <v>145908</v>
          </cell>
        </row>
        <row r="8">
          <cell r="M8">
            <v>1822</v>
          </cell>
          <cell r="N8">
            <v>2944</v>
          </cell>
        </row>
        <row r="9">
          <cell r="M9">
            <v>38908</v>
          </cell>
          <cell r="N9">
            <v>39269</v>
          </cell>
        </row>
        <row r="12">
          <cell r="M12">
            <v>-9242</v>
          </cell>
          <cell r="N12">
            <v>-8953</v>
          </cell>
        </row>
        <row r="13">
          <cell r="M13">
            <v>-28616</v>
          </cell>
          <cell r="N13">
            <v>-27140</v>
          </cell>
        </row>
        <row r="14">
          <cell r="M14">
            <v>-41741</v>
          </cell>
          <cell r="N14">
            <v>-36847</v>
          </cell>
        </row>
        <row r="15">
          <cell r="M15">
            <v>-22656</v>
          </cell>
          <cell r="N15">
            <v>-20446</v>
          </cell>
        </row>
        <row r="16">
          <cell r="M16">
            <v>-5699</v>
          </cell>
          <cell r="N16">
            <v>-5159</v>
          </cell>
        </row>
        <row r="17">
          <cell r="M17">
            <v>-8516</v>
          </cell>
          <cell r="N17">
            <v>-8337</v>
          </cell>
        </row>
        <row r="18">
          <cell r="M18">
            <v>-5868</v>
          </cell>
          <cell r="N18">
            <v>-3454</v>
          </cell>
        </row>
        <row r="19">
          <cell r="M19">
            <v>-38908</v>
          </cell>
          <cell r="N19">
            <v>-39269</v>
          </cell>
        </row>
        <row r="27">
          <cell r="M27">
            <v>31211</v>
          </cell>
        </row>
        <row r="28">
          <cell r="G28">
            <v>-4276</v>
          </cell>
        </row>
        <row r="29">
          <cell r="G29">
            <v>483</v>
          </cell>
        </row>
      </sheetData>
      <sheetData sheetId="17">
        <row r="5">
          <cell r="E5">
            <v>72</v>
          </cell>
        </row>
        <row r="6">
          <cell r="E6">
            <v>16</v>
          </cell>
        </row>
        <row r="8">
          <cell r="E8">
            <v>35138</v>
          </cell>
        </row>
        <row r="9">
          <cell r="E9">
            <v>14</v>
          </cell>
        </row>
      </sheetData>
      <sheetData sheetId="18">
        <row r="15">
          <cell r="Q15">
            <v>817.02962</v>
          </cell>
        </row>
        <row r="16">
          <cell r="Q16">
            <v>385.11515999999995</v>
          </cell>
        </row>
      </sheetData>
      <sheetData sheetId="27">
        <row r="5">
          <cell r="C5">
            <v>7086</v>
          </cell>
        </row>
        <row r="6">
          <cell r="C6">
            <v>252</v>
          </cell>
        </row>
        <row r="10">
          <cell r="C10">
            <v>2189</v>
          </cell>
        </row>
        <row r="11">
          <cell r="C11">
            <v>25409</v>
          </cell>
        </row>
        <row r="12">
          <cell r="C12">
            <v>9936</v>
          </cell>
        </row>
        <row r="13">
          <cell r="C13">
            <v>12</v>
          </cell>
        </row>
        <row r="14">
          <cell r="C14">
            <v>25</v>
          </cell>
        </row>
        <row r="22">
          <cell r="C22">
            <v>8884</v>
          </cell>
        </row>
        <row r="23">
          <cell r="C23">
            <v>10774</v>
          </cell>
        </row>
        <row r="29">
          <cell r="C29">
            <v>48306</v>
          </cell>
        </row>
        <row r="30">
          <cell r="C30">
            <v>1529</v>
          </cell>
        </row>
        <row r="31">
          <cell r="C31">
            <v>1400</v>
          </cell>
        </row>
        <row r="32">
          <cell r="C32">
            <v>5108</v>
          </cell>
        </row>
        <row r="33">
          <cell r="C33">
            <v>7431</v>
          </cell>
        </row>
        <row r="37">
          <cell r="C37">
            <v>24553</v>
          </cell>
        </row>
        <row r="38">
          <cell r="C38">
            <v>1093</v>
          </cell>
        </row>
        <row r="41">
          <cell r="C41">
            <v>180</v>
          </cell>
        </row>
        <row r="42">
          <cell r="C42">
            <v>3818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49">
          <cell r="G49">
            <v>13939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6855</v>
          </cell>
        </row>
        <row r="70">
          <cell r="G70">
            <v>1835</v>
          </cell>
        </row>
      </sheetData>
      <sheetData sheetId="2">
        <row r="21">
          <cell r="C21">
            <v>826</v>
          </cell>
          <cell r="D21">
            <v>38</v>
          </cell>
        </row>
        <row r="22">
          <cell r="G22">
            <v>30</v>
          </cell>
        </row>
        <row r="26">
          <cell r="G26">
            <v>7</v>
          </cell>
        </row>
      </sheetData>
      <sheetData sheetId="4">
        <row r="15">
          <cell r="I15">
            <v>-878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8_Dec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SADE"/>
      <sheetName val="wise"/>
      <sheetName val="ZONA 2"/>
      <sheetName val="OKUBRATOVO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6">
        <row r="37">
          <cell r="W37">
            <v>1529</v>
          </cell>
        </row>
        <row r="45">
          <cell r="W45">
            <v>1093</v>
          </cell>
        </row>
      </sheetData>
      <sheetData sheetId="8">
        <row r="83">
          <cell r="C83">
            <v>-424032.94</v>
          </cell>
        </row>
        <row r="84">
          <cell r="C84">
            <v>-848907.39</v>
          </cell>
        </row>
        <row r="85">
          <cell r="C85">
            <v>-1210905.8399999999</v>
          </cell>
        </row>
        <row r="86">
          <cell r="C86">
            <v>-47875.41</v>
          </cell>
        </row>
        <row r="87">
          <cell r="C87">
            <v>-34723</v>
          </cell>
        </row>
        <row r="88">
          <cell r="C88">
            <v>-4895.59</v>
          </cell>
        </row>
        <row r="89">
          <cell r="C89">
            <v>0</v>
          </cell>
        </row>
        <row r="90">
          <cell r="C90">
            <v>-99595.29000000001</v>
          </cell>
        </row>
      </sheetData>
      <sheetData sheetId="9">
        <row r="108">
          <cell r="C108">
            <v>3154</v>
          </cell>
          <cell r="D108">
            <v>1618.0528100000001</v>
          </cell>
          <cell r="E108">
            <v>-2145.45882</v>
          </cell>
          <cell r="F108">
            <v>-791.56937</v>
          </cell>
        </row>
      </sheetData>
      <sheetData sheetId="40">
        <row r="39">
          <cell r="G39">
            <v>24552818.676800318</v>
          </cell>
        </row>
        <row r="43">
          <cell r="G43">
            <v>72858822.75976868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8"/>
      <sheetName val="CF_SV2018"/>
      <sheetName val="CF_WISE2018"/>
      <sheetName val="adjustment"/>
    </sheetNames>
    <sheetDataSet>
      <sheetData sheetId="0">
        <row r="12">
          <cell r="O12">
            <v>188921.94585999998</v>
          </cell>
        </row>
        <row r="14">
          <cell r="O14">
            <v>-30674.38821</v>
          </cell>
        </row>
        <row r="15">
          <cell r="O15">
            <v>-1991.334615</v>
          </cell>
        </row>
        <row r="16">
          <cell r="O16">
            <v>-16573.67565616667</v>
          </cell>
        </row>
        <row r="17">
          <cell r="O17">
            <v>-1371.3557899999998</v>
          </cell>
        </row>
        <row r="18">
          <cell r="O18">
            <v>-1496.20995</v>
          </cell>
        </row>
        <row r="19">
          <cell r="O19">
            <v>-1396.3975958333335</v>
          </cell>
        </row>
        <row r="20">
          <cell r="O20">
            <v>-404.76095</v>
          </cell>
        </row>
        <row r="21">
          <cell r="O21">
            <v>-8584.638867166668</v>
          </cell>
        </row>
        <row r="22">
          <cell r="O22">
            <v>-5705.313098833333</v>
          </cell>
        </row>
        <row r="30">
          <cell r="O30">
            <v>-19193.957837</v>
          </cell>
        </row>
        <row r="34">
          <cell r="O34">
            <v>-40181.834966</v>
          </cell>
        </row>
        <row r="36">
          <cell r="O36">
            <v>-4701.298159999999</v>
          </cell>
        </row>
        <row r="37">
          <cell r="O37">
            <v>-17114.50279</v>
          </cell>
        </row>
        <row r="38">
          <cell r="O38">
            <v>-289.31571999999994</v>
          </cell>
        </row>
        <row r="41">
          <cell r="O41">
            <v>-885.80421</v>
          </cell>
        </row>
        <row r="42">
          <cell r="O42">
            <v>-141.60344</v>
          </cell>
        </row>
        <row r="43">
          <cell r="O43">
            <v>-1362.348435067428</v>
          </cell>
        </row>
        <row r="44">
          <cell r="O44">
            <v>248.92503000000002</v>
          </cell>
        </row>
        <row r="45">
          <cell r="O45">
            <v>-737.39899</v>
          </cell>
        </row>
        <row r="46">
          <cell r="O46">
            <v>98319.86551999999</v>
          </cell>
        </row>
        <row r="47">
          <cell r="O47">
            <v>-1349.70704</v>
          </cell>
        </row>
        <row r="52">
          <cell r="O52">
            <v>-123183.78538367001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 (2)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6">
        <row r="21">
          <cell r="C21">
            <v>8884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310</v>
          </cell>
          <cell r="G13">
            <v>8884</v>
          </cell>
        </row>
        <row r="14">
          <cell r="C14">
            <v>12479</v>
          </cell>
        </row>
        <row r="15">
          <cell r="C15">
            <v>0</v>
          </cell>
        </row>
        <row r="16">
          <cell r="C16">
            <v>5412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385</v>
          </cell>
        </row>
        <row r="21">
          <cell r="G21">
            <v>-359</v>
          </cell>
        </row>
        <row r="23">
          <cell r="G23">
            <v>10774</v>
          </cell>
        </row>
        <row r="25">
          <cell r="C25">
            <v>4528</v>
          </cell>
        </row>
        <row r="26">
          <cell r="C26">
            <v>4</v>
          </cell>
        </row>
        <row r="27">
          <cell r="C27">
            <v>290878</v>
          </cell>
        </row>
        <row r="29">
          <cell r="G29">
            <v>186129</v>
          </cell>
        </row>
        <row r="32">
          <cell r="G32">
            <v>29976</v>
          </cell>
        </row>
        <row r="45">
          <cell r="G45">
            <v>19537</v>
          </cell>
        </row>
        <row r="49">
          <cell r="G49">
            <v>12548</v>
          </cell>
        </row>
        <row r="51">
          <cell r="C51">
            <v>237</v>
          </cell>
        </row>
        <row r="55">
          <cell r="C55">
            <v>6506</v>
          </cell>
        </row>
        <row r="59">
          <cell r="C59">
            <v>1990</v>
          </cell>
          <cell r="G59">
            <v>9671</v>
          </cell>
        </row>
        <row r="62">
          <cell r="G62">
            <v>74982</v>
          </cell>
        </row>
        <row r="64">
          <cell r="G64">
            <v>14979</v>
          </cell>
        </row>
        <row r="66">
          <cell r="G66">
            <v>4886</v>
          </cell>
        </row>
        <row r="67">
          <cell r="G67">
            <v>736</v>
          </cell>
        </row>
        <row r="68">
          <cell r="C68">
            <v>11</v>
          </cell>
          <cell r="G68">
            <v>1058.86583</v>
          </cell>
        </row>
        <row r="69">
          <cell r="C69">
            <v>36741</v>
          </cell>
          <cell r="G69">
            <v>8586.297629682447</v>
          </cell>
        </row>
        <row r="70">
          <cell r="G70">
            <v>3154</v>
          </cell>
        </row>
        <row r="73">
          <cell r="C73">
            <v>12</v>
          </cell>
        </row>
        <row r="88">
          <cell r="C88">
            <v>77</v>
          </cell>
        </row>
        <row r="89">
          <cell r="C89">
            <v>25787</v>
          </cell>
        </row>
      </sheetData>
      <sheetData sheetId="5">
        <row r="11">
          <cell r="J11">
            <v>185</v>
          </cell>
        </row>
        <row r="12">
          <cell r="J12">
            <v>525</v>
          </cell>
        </row>
        <row r="13">
          <cell r="J13">
            <v>33982</v>
          </cell>
        </row>
        <row r="14">
          <cell r="J14">
            <v>0</v>
          </cell>
        </row>
        <row r="15">
          <cell r="J15">
            <v>14862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1483</v>
          </cell>
        </row>
        <row r="23">
          <cell r="G23">
            <v>0</v>
          </cell>
        </row>
        <row r="24">
          <cell r="G24">
            <v>20497</v>
          </cell>
        </row>
        <row r="25">
          <cell r="G25">
            <v>21041</v>
          </cell>
        </row>
        <row r="26">
          <cell r="G26">
            <v>502168</v>
          </cell>
        </row>
        <row r="42">
          <cell r="J42">
            <v>602136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8"/>
      <sheetName val="CF_SV2018"/>
      <sheetName val="CF_WISE2018"/>
      <sheetName val="adjustment"/>
    </sheetNames>
    <sheetDataSet>
      <sheetData sheetId="0">
        <row r="55">
          <cell r="O55">
            <v>25863.84878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8">
          <cell r="C48">
            <v>775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6">
          <cell r="G26">
            <v>0</v>
          </cell>
        </row>
      </sheetData>
      <sheetData sheetId="3">
        <row r="46">
          <cell r="C46">
            <v>25738.926587999995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 (2)"/>
      <sheetName val="19"/>
      <sheetName val="NotaFA"/>
      <sheetName val="Sheet2"/>
      <sheetName val="DT"/>
      <sheetName val="Pension provision"/>
      <sheetName val="SCE"/>
      <sheetName val="BS_KF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27.58156</v>
          </cell>
        </row>
        <row r="25">
          <cell r="C25">
            <v>4492</v>
          </cell>
          <cell r="G25">
            <v>22.247469999999993</v>
          </cell>
        </row>
        <row r="27">
          <cell r="C27">
            <v>0</v>
          </cell>
        </row>
        <row r="28">
          <cell r="C28">
            <v>667</v>
          </cell>
        </row>
        <row r="39">
          <cell r="C39">
            <v>3299</v>
          </cell>
        </row>
        <row r="40">
          <cell r="C40">
            <v>132</v>
          </cell>
        </row>
      </sheetData>
      <sheetData sheetId="3">
        <row r="11">
          <cell r="C11">
            <v>165991</v>
          </cell>
        </row>
        <row r="14">
          <cell r="C14">
            <v>-27582</v>
          </cell>
        </row>
        <row r="15">
          <cell r="C15">
            <v>-14567</v>
          </cell>
        </row>
        <row r="16">
          <cell r="C16">
            <v>-3147</v>
          </cell>
        </row>
        <row r="20">
          <cell r="C20">
            <v>-55958</v>
          </cell>
        </row>
        <row r="23">
          <cell r="C23">
            <v>-41333</v>
          </cell>
        </row>
        <row r="38">
          <cell r="C38">
            <v>-9063</v>
          </cell>
        </row>
        <row r="39">
          <cell r="C39">
            <v>-2195</v>
          </cell>
        </row>
        <row r="40">
          <cell r="C40">
            <v>-3941</v>
          </cell>
        </row>
        <row r="42">
          <cell r="C42">
            <v>163</v>
          </cell>
        </row>
        <row r="45">
          <cell r="C45">
            <v>17495.926587999995</v>
          </cell>
        </row>
      </sheetData>
      <sheetData sheetId="5">
        <row r="42">
          <cell r="N42">
            <v>287955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43577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0.15687545864873287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0.11744585095654529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0.23469211276290164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0.07827513721605847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1.2139667394672946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1.0631817722104229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1.0315547657232023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0.5203502232239609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0.5203502232239609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0.6217321643737225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0.49896355931189956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0.19353487779268153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0.5004252148652106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0.3335226578114116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37605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0.14150623899333203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0.39874165163248587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1.676039119804401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290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12584.364379999999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6334.165000000001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777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20170.52938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4531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293105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297640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252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252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7086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325148.52938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2189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2189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35345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35382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35927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36015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73586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398734.52938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-348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10426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215227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215227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31211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246438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265748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49835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13939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63774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63774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25646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34875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3818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23907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4866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902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1382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6857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1835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69213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69213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398735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9242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28616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41741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22656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5699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53292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8516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826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161246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2532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100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40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2672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163918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35073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163918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35073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3793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4276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-483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31280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31280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198991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160046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38908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198954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37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198991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198991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198991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188922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-30674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-17404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-4701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-56718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79425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-40182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-40182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98319.86551999999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-123184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-1350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-3127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249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-29092.134480000008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10150.865519999992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25863.84878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36014.71429999999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36014.71429999999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775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-359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-359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-348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-348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216105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-878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-878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215227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31211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246438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246438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235404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-878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-878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234526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31211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265748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265748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33982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14862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1483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51037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20497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502168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543706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602136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3098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2416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5986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472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11972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700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76482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77182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89154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655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783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5986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7424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37575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37575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44999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36425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16495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1955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55585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21197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541075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583313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646291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36425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16495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1955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55585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21197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541075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583313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646291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215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21503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9450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1098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32266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15969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211290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248296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287955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2782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1483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80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4365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697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36680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37377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41742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444.36438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772.165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1216.52938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1216.52938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235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23840.63562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10160.835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1178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35414.47062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16666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247970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285673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328480.47062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235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23840.63562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10160.835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1178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35414.47062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16666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247970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285673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328480.47062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290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12584.364379999999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6334.165000000001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777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20170.52938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4531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293105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297640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317810.52938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252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252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252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7086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25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35345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35382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42720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25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35345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35382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35382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252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252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252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7086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7338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72859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72859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16561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2622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89420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3818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3818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31057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23907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4866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1382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180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817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385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902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6857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41732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131152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24553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24553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1093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1093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25646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3818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3818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31057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23907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4866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1382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180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817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385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902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6857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41732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67378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48306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48306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15468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1529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63774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63774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3154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3154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1618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1618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2937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2937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1835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1835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'[3]1-Баланс'!C12</f>
        <v>185</v>
      </c>
      <c r="E12" s="84" t="s">
        <v>25</v>
      </c>
      <c r="F12" s="87" t="s">
        <v>26</v>
      </c>
      <c r="G12" s="188">
        <f>'[10]BS_KFN'!$C$22</f>
        <v>8884</v>
      </c>
      <c r="H12" s="187">
        <f>'[3]1-Баланс'!G12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290</v>
      </c>
      <c r="D13" s="187">
        <f>'[3]1-Баланс'!C13</f>
        <v>310</v>
      </c>
      <c r="E13" s="84" t="s">
        <v>821</v>
      </c>
      <c r="F13" s="87" t="s">
        <v>29</v>
      </c>
      <c r="G13" s="188">
        <f>'[2]BS_KFN'!C$21</f>
        <v>8884</v>
      </c>
      <c r="H13" s="187">
        <f>'[3]1-Баланс'!G13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12584.364379999999</v>
      </c>
      <c r="D14" s="187">
        <f>'[3]1-Баланс'!C14</f>
        <v>12479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'[3]1-Баланс'!C15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6334.165000000001</v>
      </c>
      <c r="D16" s="187">
        <f>'[3]1-Баланс'!C16</f>
        <v>5412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'[3]1-Баланс'!C17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0</v>
      </c>
      <c r="D18" s="187">
        <f>'[3]1-Баланс'!C18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777</v>
      </c>
      <c r="D19" s="187">
        <f>'[3]1-Баланс'!C19</f>
        <v>385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20170.52938</v>
      </c>
      <c r="D20" s="567">
        <f>SUM(D12:D19)</f>
        <v>18771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'[10]BS'!$I$32</f>
        <v>-348</v>
      </c>
      <c r="H21" s="187">
        <f>'[3]1-Баланс'!$G$21</f>
        <v>-359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'[10]BS_KFN'!$C$23</f>
        <v>10774</v>
      </c>
      <c r="H23" s="187">
        <f>'[3]1-Баланс'!$G$23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4531</v>
      </c>
      <c r="D25" s="187">
        <f>'[3]1-Баланс'!C25</f>
        <v>4528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'[3]1-Баланс'!C26</f>
        <v>4</v>
      </c>
      <c r="E26" s="471" t="s">
        <v>77</v>
      </c>
      <c r="F26" s="89" t="s">
        <v>78</v>
      </c>
      <c r="G26" s="566">
        <f>G20+G21+G22</f>
        <v>10426</v>
      </c>
      <c r="H26" s="567">
        <f>H20+H21+H22</f>
        <v>10415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293105</v>
      </c>
      <c r="D27" s="187">
        <f>'[3]1-Баланс'!C27</f>
        <v>290878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297640</v>
      </c>
      <c r="D28" s="567">
        <f>SUM(D24:D27)</f>
        <v>295410</v>
      </c>
      <c r="E28" s="193" t="s">
        <v>84</v>
      </c>
      <c r="F28" s="87" t="s">
        <v>85</v>
      </c>
      <c r="G28" s="564">
        <f>SUM(G29:G31)</f>
        <v>215227</v>
      </c>
      <c r="H28" s="565">
        <f>SUM(H29:H31)</f>
        <v>186129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-ROUND('[10]Consolidation_PL_BS'!$X$72,0)-1</f>
        <v>215227</v>
      </c>
      <c r="H29" s="187">
        <f>'[3]1-Баланс'!G29</f>
        <v>186129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'[10]PL'!M$27</f>
        <v>31211</v>
      </c>
      <c r="H32" s="187">
        <f>'[3]1-Баланс'!G32</f>
        <v>29976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246438</v>
      </c>
      <c r="H34" s="567">
        <f>H28+H32+H33</f>
        <v>216105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265748</v>
      </c>
      <c r="H37" s="569">
        <f>H26+H18+H34</f>
        <v>235404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'[10]BS_KFN'!C$29+'[10]BS_KFN'!C$30</f>
        <v>49835</v>
      </c>
      <c r="H45" s="187">
        <f>'[3]1-Баланс'!G45</f>
        <v>19537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'[10]BS_KFN'!C$31+'[10]BS_KFN'!C$32+'[10]BS_KFN'!C$33</f>
        <v>13939</v>
      </c>
      <c r="H49" s="187">
        <f>'[3]1-Баланс'!G49</f>
        <v>12548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63774</v>
      </c>
      <c r="H50" s="565">
        <f>SUM(H44:H49)</f>
        <v>32085</v>
      </c>
    </row>
    <row r="51" spans="1:8" ht="15.75">
      <c r="A51" s="84" t="s">
        <v>79</v>
      </c>
      <c r="B51" s="86" t="s">
        <v>155</v>
      </c>
      <c r="C51" s="188">
        <f>'[10]BS_KFN'!C$6</f>
        <v>252</v>
      </c>
      <c r="D51" s="187">
        <f>'[3]1-Баланс'!$C$51</f>
        <v>237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252</v>
      </c>
      <c r="D52" s="567">
        <f>SUM(D48:D51)</f>
        <v>237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'[10]BS_KFN'!C$5</f>
        <v>7086</v>
      </c>
      <c r="D55" s="466">
        <f>'[3]1-Баланс'!$C$55</f>
        <v>6506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325148.52938</v>
      </c>
      <c r="D56" s="571">
        <f>D20+D21+D22+D28+D33+D46+D52+D54+D55</f>
        <v>320924</v>
      </c>
      <c r="E56" s="94" t="s">
        <v>825</v>
      </c>
      <c r="F56" s="93" t="s">
        <v>172</v>
      </c>
      <c r="G56" s="568">
        <f>G50+G52+G53+G54+G55</f>
        <v>63774</v>
      </c>
      <c r="H56" s="569">
        <f>H50+H52+H53+H54+H55</f>
        <v>32085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'[10]BS_KFN'!C$10</f>
        <v>2189</v>
      </c>
      <c r="D59" s="187">
        <f>'[3]1-Баланс'!$C$59</f>
        <v>1990</v>
      </c>
      <c r="E59" s="192" t="s">
        <v>180</v>
      </c>
      <c r="F59" s="473" t="s">
        <v>181</v>
      </c>
      <c r="G59" s="188">
        <f>'[10]BS_KFN'!$C$37+'[10]BS_KFN'!$C$38</f>
        <v>25646</v>
      </c>
      <c r="H59" s="187">
        <f>'[3]1-Баланс'!$G$59</f>
        <v>9671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34875</v>
      </c>
      <c r="H61" s="565">
        <f>SUM(H62:H68)</f>
        <v>96641.86583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ROUND('[10]BS_KFN'!$C$42,0)</f>
        <v>3818</v>
      </c>
      <c r="H62" s="187">
        <f>'[3]1-Баланс'!G62</f>
        <v>74982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'[11]1-Баланс'!$G$64+4</f>
        <v>23907</v>
      </c>
      <c r="H64" s="187">
        <f>'[3]1-Баланс'!G64</f>
        <v>14979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2189</v>
      </c>
      <c r="D65" s="567">
        <f>SUM(D59:D64)</f>
        <v>1990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'[11]1-Баланс'!$G$66</f>
        <v>4866</v>
      </c>
      <c r="H66" s="187">
        <f>'[3]1-Баланс'!G66</f>
        <v>4886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'[11]1-Баланс'!$G$67</f>
        <v>902</v>
      </c>
      <c r="H67" s="187">
        <f>'[3]1-Баланс'!G67</f>
        <v>736</v>
      </c>
    </row>
    <row r="68" spans="1:8" ht="15.75">
      <c r="A68" s="84" t="s">
        <v>206</v>
      </c>
      <c r="B68" s="86" t="s">
        <v>207</v>
      </c>
      <c r="C68" s="188">
        <f>'[10]BS_KFN'!C$14</f>
        <v>25</v>
      </c>
      <c r="D68" s="187">
        <f>'[3]1-Баланс'!C68</f>
        <v>11</v>
      </c>
      <c r="E68" s="84" t="s">
        <v>212</v>
      </c>
      <c r="F68" s="87" t="s">
        <v>213</v>
      </c>
      <c r="G68" s="188">
        <f>'[11]1-Баланс'!$G$68</f>
        <v>1382</v>
      </c>
      <c r="H68" s="187">
        <f>'[3]1-Баланс'!G68</f>
        <v>1058.86583</v>
      </c>
    </row>
    <row r="69" spans="1:8" ht="15.75">
      <c r="A69" s="84" t="s">
        <v>210</v>
      </c>
      <c r="B69" s="86" t="s">
        <v>211</v>
      </c>
      <c r="C69" s="188">
        <f>'[10]BS_KFN'!$C$11+'[10]BS_KFN'!$C$12</f>
        <v>35345</v>
      </c>
      <c r="D69" s="187">
        <f>'[3]1-Баланс'!C69</f>
        <v>36741</v>
      </c>
      <c r="E69" s="192" t="s">
        <v>79</v>
      </c>
      <c r="F69" s="87" t="s">
        <v>216</v>
      </c>
      <c r="G69" s="188">
        <f>'[11]1-Баланс'!$G$69+2</f>
        <v>6857</v>
      </c>
      <c r="H69" s="187">
        <f>'[3]1-Баланс'!G69</f>
        <v>8586.297629682447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'[11]1-Баланс'!$G$70</f>
        <v>1835</v>
      </c>
      <c r="H70" s="187">
        <f>'[3]1-Баланс'!G70</f>
        <v>3154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69213</v>
      </c>
      <c r="H71" s="567">
        <f>H59+H60+H61+H69+H70</f>
        <v>118053.16345968244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'[10]BS_KFN'!$C$13</f>
        <v>12</v>
      </c>
      <c r="D73" s="187">
        <f>'[3]1-Баланс'!C73</f>
        <v>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35382</v>
      </c>
      <c r="D76" s="567">
        <f>SUM(D68:D75)</f>
        <v>36764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69213</v>
      </c>
      <c r="H79" s="569">
        <f>H71+H73+H75+H77</f>
        <v>118053.16345968244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'[10]13'!$E$5+'[10]13'!$E$6</f>
        <v>88</v>
      </c>
      <c r="D88" s="187">
        <f>'[3]1-Баланс'!C88</f>
        <v>77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'[10]13'!$E$8+'[10]13'!$E$9+775</f>
        <v>35927</v>
      </c>
      <c r="D89" s="187">
        <f>'[3]1-Баланс'!C89</f>
        <v>25787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36015</v>
      </c>
      <c r="D92" s="567">
        <f>SUM(D88:D91)</f>
        <v>25864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73586</v>
      </c>
      <c r="D94" s="571">
        <f>D65+D76+D85+D92+D93</f>
        <v>64618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398734.52938</v>
      </c>
      <c r="D95" s="573">
        <f>D94+D56</f>
        <v>385542</v>
      </c>
      <c r="E95" s="220" t="s">
        <v>916</v>
      </c>
      <c r="F95" s="476" t="s">
        <v>268</v>
      </c>
      <c r="G95" s="572">
        <f>G37+G40+G56+G79</f>
        <v>398735</v>
      </c>
      <c r="H95" s="573">
        <f>H37+H40+H56+H79</f>
        <v>385542.16345968243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7">
        <f>pdeReportingDate</f>
        <v>43577</v>
      </c>
      <c r="C98" s="677"/>
      <c r="D98" s="677"/>
      <c r="E98" s="677"/>
      <c r="F98" s="677"/>
      <c r="G98" s="677"/>
      <c r="H98" s="677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8" t="str">
        <f>authorName</f>
        <v>Анелия Илиева Илиева</v>
      </c>
      <c r="C100" s="678"/>
      <c r="D100" s="678"/>
      <c r="E100" s="678"/>
      <c r="F100" s="678"/>
      <c r="G100" s="678"/>
      <c r="H100" s="678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9"/>
      <c r="C102" s="679"/>
      <c r="D102" s="679"/>
      <c r="E102" s="679"/>
      <c r="F102" s="679"/>
      <c r="G102" s="679"/>
      <c r="H102" s="679"/>
    </row>
    <row r="103" spans="1:13" ht="21.75" customHeight="1">
      <c r="A103" s="663"/>
      <c r="B103" s="680" t="str">
        <f>Начална!B17</f>
        <v>Васил Борисов Тренев</v>
      </c>
      <c r="C103" s="675"/>
      <c r="D103" s="675"/>
      <c r="E103" s="675"/>
      <c r="M103" s="92"/>
    </row>
    <row r="104" spans="1:5" ht="21.75" customHeight="1">
      <c r="A104" s="663"/>
      <c r="B104" s="675" t="s">
        <v>952</v>
      </c>
      <c r="C104" s="675"/>
      <c r="D104" s="675"/>
      <c r="E104" s="675"/>
    </row>
    <row r="105" spans="1:13" ht="21.75" customHeight="1">
      <c r="A105" s="663"/>
      <c r="B105" s="676">
        <f>G95-B106</f>
        <v>0</v>
      </c>
      <c r="C105" s="675"/>
      <c r="D105" s="675"/>
      <c r="E105" s="675"/>
      <c r="M105" s="92"/>
    </row>
    <row r="106" spans="1:5" ht="21.75" customHeight="1">
      <c r="A106" s="663"/>
      <c r="B106" s="675">
        <v>398735</v>
      </c>
      <c r="C106" s="675"/>
      <c r="D106" s="675"/>
      <c r="E106" s="675"/>
    </row>
    <row r="107" spans="1:13" ht="21.75" customHeight="1">
      <c r="A107" s="663"/>
      <c r="B107" s="676">
        <f>B106-C95</f>
        <v>0.4706199999782257</v>
      </c>
      <c r="C107" s="675"/>
      <c r="D107" s="675"/>
      <c r="E107" s="675"/>
      <c r="M107" s="92"/>
    </row>
    <row r="108" spans="1:5" ht="21.75" customHeight="1">
      <c r="A108" s="663"/>
      <c r="B108" s="676">
        <f>C95-G95</f>
        <v>-0.4706199999782257</v>
      </c>
      <c r="C108" s="675"/>
      <c r="D108" s="675"/>
      <c r="E108" s="675"/>
    </row>
    <row r="109" spans="1:13" ht="21.75" customHeight="1">
      <c r="A109" s="663"/>
      <c r="B109" s="676">
        <f>H95-D95</f>
        <v>0.163459682429675</v>
      </c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6" sqref="H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-'[10]PL'!M12</f>
        <v>9242</v>
      </c>
      <c r="D12" s="307">
        <f>-'[10]PL'!N12</f>
        <v>8953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-'[10]PL'!M13</f>
        <v>28616</v>
      </c>
      <c r="D13" s="307">
        <f>-'[10]PL'!N13</f>
        <v>27140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-'[10]PL'!M14</f>
        <v>41741</v>
      </c>
      <c r="D14" s="307">
        <f>-'[10]PL'!N14</f>
        <v>36847</v>
      </c>
      <c r="E14" s="236" t="s">
        <v>285</v>
      </c>
      <c r="F14" s="231" t="s">
        <v>286</v>
      </c>
      <c r="G14" s="307">
        <f>'[10]PL'!M$7+'[10]PL'!M$8</f>
        <v>160046</v>
      </c>
      <c r="H14" s="307">
        <f>'[10]PL'!N$7+'[10]PL'!N$8</f>
        <v>148852</v>
      </c>
    </row>
    <row r="15" spans="1:8" ht="15.75">
      <c r="A15" s="185" t="s">
        <v>287</v>
      </c>
      <c r="B15" s="181" t="s">
        <v>288</v>
      </c>
      <c r="C15" s="307">
        <f>-'[10]PL'!M15</f>
        <v>22656</v>
      </c>
      <c r="D15" s="307">
        <f>-'[10]PL'!N15</f>
        <v>20446</v>
      </c>
      <c r="E15" s="236" t="s">
        <v>79</v>
      </c>
      <c r="F15" s="231" t="s">
        <v>289</v>
      </c>
      <c r="G15" s="307">
        <f>'[10]PL'!M$9</f>
        <v>38908</v>
      </c>
      <c r="H15" s="308">
        <f>'[10]PL'!N$9</f>
        <v>39269</v>
      </c>
    </row>
    <row r="16" spans="1:8" ht="15.75">
      <c r="A16" s="185" t="s">
        <v>290</v>
      </c>
      <c r="B16" s="181" t="s">
        <v>291</v>
      </c>
      <c r="C16" s="307">
        <f>-'[10]PL'!M16</f>
        <v>5699</v>
      </c>
      <c r="D16" s="307">
        <f>-'[10]PL'!N16</f>
        <v>5159</v>
      </c>
      <c r="E16" s="227" t="s">
        <v>52</v>
      </c>
      <c r="F16" s="255" t="s">
        <v>292</v>
      </c>
      <c r="G16" s="597">
        <f>SUM(G12:G15)</f>
        <v>198954</v>
      </c>
      <c r="H16" s="598">
        <f>SUM(H12:H15)</f>
        <v>188121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-('[10]PL'!M$17+'[10]PL'!M$18+'[10]PL'!M$19)</f>
        <v>53292</v>
      </c>
      <c r="D19" s="307">
        <f>-('[10]PL'!N$17+'[10]PL'!N$18+'[10]PL'!N$19)</f>
        <v>51060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-'[10]PL'!M$17</f>
        <v>8516</v>
      </c>
      <c r="D20" s="307">
        <f>-'[10]PL'!N$17</f>
        <v>8337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'[11]2-Отчет за доходите'!$C$21</f>
        <v>826</v>
      </c>
      <c r="D21" s="308">
        <f>'[11]2-Отчет за доходите'!$D$21</f>
        <v>38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161246</v>
      </c>
      <c r="D22" s="598">
        <f>SUM(D12:D18)+D19</f>
        <v>149605</v>
      </c>
      <c r="E22" s="185" t="s">
        <v>309</v>
      </c>
      <c r="F22" s="228" t="s">
        <v>310</v>
      </c>
      <c r="G22" s="307">
        <f>'[11]2-Отчет за доходите'!$G$22</f>
        <v>30</v>
      </c>
      <c r="H22" s="308">
        <f>'[9]2-Отчет за доходите'!$G$22</f>
        <v>27.58156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-ROUND(SUM('[12]NoteP&amp;L'!$C$82:$C$86)/1000,0)</f>
        <v>2532</v>
      </c>
      <c r="D25" s="308">
        <f>'[9]2-Отчет за доходите'!$C$25</f>
        <v>4492</v>
      </c>
      <c r="E25" s="185" t="s">
        <v>318</v>
      </c>
      <c r="F25" s="228" t="s">
        <v>319</v>
      </c>
      <c r="G25" s="307">
        <f>'[11]2-Отчет за доходите'!$G$26</f>
        <v>7</v>
      </c>
      <c r="H25" s="308">
        <f>'[9]2-Отчет за доходите'!$G$25</f>
        <v>22.247469999999993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ROUND('[7]NoteP&amp;L'!$C$77/1000,0)</f>
        <v>0</v>
      </c>
      <c r="H26" s="308">
        <f>'[6]2-Отчет за доходите'!$G$26</f>
        <v>0</v>
      </c>
    </row>
    <row r="27" spans="1:8" ht="31.5">
      <c r="A27" s="185" t="s">
        <v>324</v>
      </c>
      <c r="B27" s="228" t="s">
        <v>325</v>
      </c>
      <c r="C27" s="307">
        <f>-ROUND('[12]NoteP&amp;L'!$C$90/1000,0)</f>
        <v>100</v>
      </c>
      <c r="D27" s="308">
        <f>'[9]2-Отчет за доходите'!$C$27</f>
        <v>0</v>
      </c>
      <c r="E27" s="227" t="s">
        <v>104</v>
      </c>
      <c r="F27" s="229" t="s">
        <v>326</v>
      </c>
      <c r="G27" s="597">
        <f>SUM(G22:G26)</f>
        <v>37</v>
      </c>
      <c r="H27" s="598">
        <f>SUM(H22:H26)</f>
        <v>49.82902999999999</v>
      </c>
    </row>
    <row r="28" spans="1:8" ht="15.75">
      <c r="A28" s="185" t="s">
        <v>79</v>
      </c>
      <c r="B28" s="228" t="s">
        <v>327</v>
      </c>
      <c r="C28" s="307">
        <f>-ROUND(('[12]NoteP&amp;L'!$C$87+'[12]NoteP&amp;L'!$C$88+'[12]NoteP&amp;L'!$C$89)/1000,0)</f>
        <v>40</v>
      </c>
      <c r="D28" s="308">
        <f>'[9]2-Отчет за доходите'!$C$28</f>
        <v>667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2672</v>
      </c>
      <c r="D29" s="598">
        <f>SUM(D25:D28)</f>
        <v>5159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163918</v>
      </c>
      <c r="D31" s="604">
        <f>D29+D22</f>
        <v>154764</v>
      </c>
      <c r="E31" s="242" t="s">
        <v>800</v>
      </c>
      <c r="F31" s="257" t="s">
        <v>331</v>
      </c>
      <c r="G31" s="244">
        <f>G16+G18+G27</f>
        <v>198991</v>
      </c>
      <c r="H31" s="245">
        <f>H16+H18+H27</f>
        <v>188170.82903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35073</v>
      </c>
      <c r="D33" s="235">
        <f>IF((H31-D31)&gt;0,H31-D31,0)</f>
        <v>33406.82902999999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163918</v>
      </c>
      <c r="D36" s="606">
        <f>D31-D34+D35</f>
        <v>154764</v>
      </c>
      <c r="E36" s="253" t="s">
        <v>346</v>
      </c>
      <c r="F36" s="247" t="s">
        <v>347</v>
      </c>
      <c r="G36" s="258">
        <f>G35-G34+G31</f>
        <v>198991</v>
      </c>
      <c r="H36" s="259">
        <f>H35-H34+H31</f>
        <v>188170.82903</v>
      </c>
    </row>
    <row r="37" spans="1:8" ht="15.75">
      <c r="A37" s="252" t="s">
        <v>348</v>
      </c>
      <c r="B37" s="222" t="s">
        <v>349</v>
      </c>
      <c r="C37" s="603">
        <f>IF((G36-C36)&gt;0,G36-C36,0)</f>
        <v>35073</v>
      </c>
      <c r="D37" s="604">
        <f>IF((H36-D36)&gt;0,H36-D36,0)</f>
        <v>33406.82902999999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3793</v>
      </c>
      <c r="D38" s="598">
        <f>D39+D40+D41</f>
        <v>3431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-'[10]PL'!G$28</f>
        <v>4276</v>
      </c>
      <c r="D39" s="308">
        <f>'[9]2-Отчет за доходите'!$C$39</f>
        <v>3299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-'[10]PL'!G$29</f>
        <v>-483</v>
      </c>
      <c r="D40" s="308">
        <f>'[9]2-Отчет за доходите'!$C$40</f>
        <v>132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31280</v>
      </c>
      <c r="D42" s="235">
        <f>+IF((H36-D36-D38)&gt;0,H36-D36-D38,0)</f>
        <v>29975.829029999994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31280</v>
      </c>
      <c r="D44" s="259">
        <f>IF(H42=0,IF(D42-D43&gt;0,D42-D43+H43,0),IF(H42-H43&lt;0,H43-H42+D42,0))</f>
        <v>29975.829029999994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198991</v>
      </c>
      <c r="D45" s="600">
        <f>D36+D38+D42</f>
        <v>188170.82903</v>
      </c>
      <c r="E45" s="261" t="s">
        <v>373</v>
      </c>
      <c r="F45" s="263" t="s">
        <v>374</v>
      </c>
      <c r="G45" s="599">
        <f>G42+G36</f>
        <v>198991</v>
      </c>
      <c r="H45" s="600">
        <f>H42+H36</f>
        <v>188170.82903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81" t="s">
        <v>951</v>
      </c>
      <c r="B47" s="681"/>
      <c r="C47" s="681"/>
      <c r="D47" s="681"/>
      <c r="E47" s="68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7">
        <f>pdeReportingDate</f>
        <v>43577</v>
      </c>
      <c r="C50" s="677"/>
      <c r="D50" s="677"/>
      <c r="E50" s="677"/>
      <c r="F50" s="677"/>
      <c r="G50" s="677"/>
      <c r="H50" s="677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8" t="str">
        <f>authorName</f>
        <v>Анелия Илиева Илиева</v>
      </c>
      <c r="C52" s="678"/>
      <c r="D52" s="678"/>
      <c r="E52" s="678"/>
      <c r="F52" s="678"/>
      <c r="G52" s="678"/>
      <c r="H52" s="678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9"/>
      <c r="C54" s="679"/>
      <c r="D54" s="679"/>
      <c r="E54" s="679"/>
      <c r="F54" s="679"/>
      <c r="G54" s="679"/>
      <c r="H54" s="679"/>
    </row>
    <row r="55" spans="1:8" ht="15.75" customHeight="1">
      <c r="A55" s="663"/>
      <c r="B55" s="680" t="str">
        <f>'1-Баланс'!B103:E103</f>
        <v>Васил Борисов Тренев</v>
      </c>
      <c r="C55" s="675"/>
      <c r="D55" s="675"/>
      <c r="E55" s="675"/>
      <c r="F55" s="543"/>
      <c r="G55" s="44"/>
      <c r="H55" s="41"/>
    </row>
    <row r="56" spans="1:8" ht="15.75" customHeight="1">
      <c r="A56" s="663"/>
      <c r="B56" s="675" t="s">
        <v>952</v>
      </c>
      <c r="C56" s="675"/>
      <c r="D56" s="675"/>
      <c r="E56" s="675"/>
      <c r="F56" s="543"/>
      <c r="G56" s="44"/>
      <c r="H56" s="41"/>
    </row>
    <row r="57" spans="1:8" ht="15.75" customHeight="1">
      <c r="A57" s="663"/>
      <c r="B57" s="675" t="s">
        <v>952</v>
      </c>
      <c r="C57" s="675"/>
      <c r="D57" s="675"/>
      <c r="E57" s="675"/>
      <c r="F57" s="543"/>
      <c r="G57" s="44"/>
      <c r="H57" s="41"/>
    </row>
    <row r="58" spans="1:8" ht="15.75" customHeight="1">
      <c r="A58" s="663"/>
      <c r="B58" s="675" t="s">
        <v>952</v>
      </c>
      <c r="C58" s="675"/>
      <c r="D58" s="675"/>
      <c r="E58" s="675"/>
      <c r="F58" s="543"/>
      <c r="G58" s="44"/>
      <c r="H58" s="41"/>
    </row>
    <row r="59" spans="1:8" ht="15.75">
      <c r="A59" s="663"/>
      <c r="B59" s="675"/>
      <c r="C59" s="675"/>
      <c r="D59" s="675"/>
      <c r="E59" s="675"/>
      <c r="F59" s="543"/>
      <c r="G59" s="44"/>
      <c r="H59" s="41"/>
    </row>
    <row r="60" spans="1:8" ht="15.75">
      <c r="A60" s="663"/>
      <c r="B60" s="675"/>
      <c r="C60" s="675"/>
      <c r="D60" s="675"/>
      <c r="E60" s="675"/>
      <c r="F60" s="543"/>
      <c r="G60" s="44"/>
      <c r="H60" s="41"/>
    </row>
    <row r="61" spans="1:8" ht="15.75">
      <c r="A61" s="663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ROUND('[13]CF_Conso_2018'!$O$12,0)</f>
        <v>188922</v>
      </c>
      <c r="D11" s="187">
        <f>'[9]3-Отчет за паричния поток'!$C$11</f>
        <v>165991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ROUND('[13]CF_Conso_2018'!$O$14,0)</f>
        <v>-30674</v>
      </c>
      <c r="D14" s="187">
        <f>'[9]3-Отчет за паричния поток'!$C14</f>
        <v>-27582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ROUND('[13]CF_Conso_2018'!$O$37+'[13]CF_Conso_2018'!$O$38,0)</f>
        <v>-17404</v>
      </c>
      <c r="D15" s="187">
        <f>'[9]3-Отчет за паричния поток'!$C15</f>
        <v>-14567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ROUND('[13]CF_Conso_2018'!$O$36,0)</f>
        <v>-4701</v>
      </c>
      <c r="D16" s="187">
        <f>'[9]3-Отчет за паричния поток'!$C16</f>
        <v>-3147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ROUND(SUM('[13]CF_Conso_2018'!$O$15:$O$22)+'[13]CF_Conso_2018'!$O$30,0)</f>
        <v>-56718</v>
      </c>
      <c r="D20" s="187">
        <f>'[9]3-Отчет за паричния поток'!$C20</f>
        <v>-55958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79425</v>
      </c>
      <c r="D21" s="628">
        <f>SUM(D11:D20)</f>
        <v>64737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ROUND('[13]CF_Conso_2018'!$O$34,0)</f>
        <v>-40182</v>
      </c>
      <c r="D23" s="187">
        <f>'[9]3-Отчет за паричния поток'!$C$23</f>
        <v>-41333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-40182</v>
      </c>
      <c r="D33" s="628">
        <f>SUM(D23:D32)</f>
        <v>-41333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'[13]CF_Conso_2018'!$O$46</f>
        <v>98319.86551999999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f>ROUND('[13]CF_Conso_2018'!$O$52,0)</f>
        <v>-123184</v>
      </c>
      <c r="D38" s="188">
        <f>'[9]3-Отчет за паричния поток'!$C38</f>
        <v>-9063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ROUND('[13]CF_Conso_2018'!$O$47,0)</f>
        <v>-1350</v>
      </c>
      <c r="D39" s="188">
        <f>'[9]3-Отчет за паричния поток'!$C39</f>
        <v>-2195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ROUND(SUM('[13]CF_Conso_2018'!$O$41:$O$43)+'[13]CF_Conso_2018'!$O$45,0)</f>
        <v>-3127</v>
      </c>
      <c r="D40" s="188">
        <f>'[9]3-Отчет за паричния поток'!$C40</f>
        <v>-3941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ROUND('[13]CF_Conso_2018'!$O$44,0)</f>
        <v>249</v>
      </c>
      <c r="D42" s="188">
        <f>'[9]3-Отчет за паричния поток'!$C42</f>
        <v>163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-29092.134480000008</v>
      </c>
      <c r="D43" s="630">
        <f>SUM(D35:D42)</f>
        <v>-15036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10150.865519999992</v>
      </c>
      <c r="D44" s="298">
        <f>D43+D33+D21</f>
        <v>8368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'[4]CF_Conso_2018'!$O$55</f>
        <v>25863.84878</v>
      </c>
      <c r="D45" s="300">
        <f>'[9]3-Отчет за паричния поток'!$C$45</f>
        <v>17495.926587999995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36014.71429999999</v>
      </c>
      <c r="D46" s="302">
        <f>D45+D44</f>
        <v>25863.926587999995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36014.71429999999</v>
      </c>
      <c r="D47" s="289">
        <f>D46</f>
        <v>25863.926587999995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'[5]3-Отчет за паричния поток'!$C$48</f>
        <v>775</v>
      </c>
      <c r="D48" s="272">
        <v>465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2" t="s">
        <v>947</v>
      </c>
      <c r="B51" s="682"/>
      <c r="C51" s="682"/>
      <c r="D51" s="682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7">
        <f>pdeReportingDate</f>
        <v>43577</v>
      </c>
      <c r="C54" s="677"/>
      <c r="D54" s="677"/>
      <c r="E54" s="677"/>
      <c r="F54" s="664"/>
      <c r="G54" s="664"/>
      <c r="H54" s="664"/>
      <c r="M54" s="92"/>
    </row>
    <row r="55" spans="1:13" s="41" customFormat="1" ht="15.75">
      <c r="A55" s="661"/>
      <c r="B55" s="677"/>
      <c r="C55" s="677"/>
      <c r="D55" s="677"/>
      <c r="E55" s="677"/>
      <c r="F55" s="51"/>
      <c r="G55" s="51"/>
      <c r="H55" s="51"/>
      <c r="M55" s="92"/>
    </row>
    <row r="56" spans="1:8" s="41" customFormat="1" ht="15.75">
      <c r="A56" s="662" t="s">
        <v>8</v>
      </c>
      <c r="B56" s="678" t="str">
        <f>authorName</f>
        <v>Анелия Илиева Илиева</v>
      </c>
      <c r="C56" s="678"/>
      <c r="D56" s="678"/>
      <c r="E56" s="678"/>
      <c r="F56" s="75"/>
      <c r="G56" s="75"/>
      <c r="H56" s="75"/>
    </row>
    <row r="57" spans="1:8" s="41" customFormat="1" ht="15.75">
      <c r="A57" s="662"/>
      <c r="B57" s="678"/>
      <c r="C57" s="678"/>
      <c r="D57" s="678"/>
      <c r="E57" s="678"/>
      <c r="F57" s="75"/>
      <c r="G57" s="75"/>
      <c r="H57" s="75"/>
    </row>
    <row r="58" spans="1:8" s="41" customFormat="1" ht="15.75">
      <c r="A58" s="662" t="s">
        <v>894</v>
      </c>
      <c r="B58" s="678"/>
      <c r="C58" s="678"/>
      <c r="D58" s="678"/>
      <c r="E58" s="678"/>
      <c r="F58" s="75"/>
      <c r="G58" s="75"/>
      <c r="H58" s="75"/>
    </row>
    <row r="59" spans="1:8" s="182" customFormat="1" ht="15.75">
      <c r="A59" s="663"/>
      <c r="B59" s="680" t="str">
        <f>'2-Отчет за доходите'!B55:E55</f>
        <v>Васил Борисов Тренев</v>
      </c>
      <c r="C59" s="675"/>
      <c r="D59" s="675"/>
      <c r="E59" s="675"/>
      <c r="F59" s="543"/>
      <c r="G59" s="44"/>
      <c r="H59" s="41"/>
    </row>
    <row r="60" spans="1:8" ht="15.75">
      <c r="A60" s="663"/>
      <c r="B60" s="675" t="s">
        <v>952</v>
      </c>
      <c r="C60" s="675"/>
      <c r="D60" s="675"/>
      <c r="E60" s="675"/>
      <c r="F60" s="543"/>
      <c r="G60" s="44"/>
      <c r="H60" s="41"/>
    </row>
    <row r="61" spans="1:8" ht="15.75">
      <c r="A61" s="663"/>
      <c r="B61" s="675" t="s">
        <v>952</v>
      </c>
      <c r="C61" s="675"/>
      <c r="D61" s="675"/>
      <c r="E61" s="675"/>
      <c r="F61" s="543"/>
      <c r="G61" s="44"/>
      <c r="H61" s="41"/>
    </row>
    <row r="62" spans="1:8" ht="15.75">
      <c r="A62" s="663"/>
      <c r="B62" s="675" t="s">
        <v>952</v>
      </c>
      <c r="C62" s="675"/>
      <c r="D62" s="675"/>
      <c r="E62" s="675"/>
      <c r="F62" s="543"/>
      <c r="G62" s="44"/>
      <c r="H62" s="41"/>
    </row>
    <row r="63" spans="1:8" ht="15.75">
      <c r="A63" s="663"/>
      <c r="B63" s="675"/>
      <c r="C63" s="675"/>
      <c r="D63" s="675"/>
      <c r="E63" s="675"/>
      <c r="F63" s="543"/>
      <c r="G63" s="44"/>
      <c r="H63" s="41"/>
    </row>
    <row r="64" spans="1:8" ht="15.75">
      <c r="A64" s="663"/>
      <c r="B64" s="676">
        <f>C47-'1-Баланс'!C92</f>
        <v>-0.28570000000763685</v>
      </c>
      <c r="C64" s="675"/>
      <c r="D64" s="675"/>
      <c r="E64" s="675"/>
      <c r="F64" s="543"/>
      <c r="G64" s="44"/>
      <c r="H64" s="41"/>
    </row>
    <row r="65" spans="1:8" ht="15.75">
      <c r="A65" s="663"/>
      <c r="B65" s="676">
        <f>D46-'[6]3-Отчет за паричния поток'!$C$46</f>
        <v>125</v>
      </c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7" t="s">
        <v>453</v>
      </c>
      <c r="B8" s="69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88"/>
      <c r="B9" s="69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93" t="s">
        <v>458</v>
      </c>
      <c r="J9" s="693" t="s">
        <v>459</v>
      </c>
      <c r="K9" s="684"/>
      <c r="L9" s="684"/>
      <c r="M9" s="505" t="s">
        <v>801</v>
      </c>
      <c r="N9" s="501"/>
    </row>
    <row r="10" spans="1:14" s="502" customFormat="1" ht="31.5">
      <c r="A10" s="689"/>
      <c r="B10" s="69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-359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216105</v>
      </c>
      <c r="J13" s="553">
        <f>'1-Баланс'!H30+'1-Баланс'!H33</f>
        <v>0</v>
      </c>
      <c r="K13" s="554"/>
      <c r="L13" s="553">
        <f>SUM(C13:K13)</f>
        <v>235404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-878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-878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f>'[11]4-Отчет за собствения капитал'!$I$15</f>
        <v>-878</v>
      </c>
      <c r="J15" s="307"/>
      <c r="K15" s="307"/>
      <c r="L15" s="553">
        <f t="shared" si="1"/>
        <v>-878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-359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215227</v>
      </c>
      <c r="J17" s="622">
        <f t="shared" si="2"/>
        <v>0</v>
      </c>
      <c r="K17" s="622">
        <f t="shared" si="2"/>
        <v>0</v>
      </c>
      <c r="L17" s="553">
        <f t="shared" si="1"/>
        <v>234526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31211</v>
      </c>
      <c r="J18" s="553">
        <f>+'1-Баланс'!G33</f>
        <v>0</v>
      </c>
      <c r="K18" s="554"/>
      <c r="L18" s="553">
        <f t="shared" si="1"/>
        <v>31211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11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11</v>
      </c>
      <c r="F27" s="307"/>
      <c r="G27" s="307"/>
      <c r="H27" s="307"/>
      <c r="I27" s="307"/>
      <c r="J27" s="307"/>
      <c r="K27" s="307"/>
      <c r="L27" s="553">
        <f t="shared" si="1"/>
        <v>11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-348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246438</v>
      </c>
      <c r="J31" s="622">
        <f t="shared" si="6"/>
        <v>0</v>
      </c>
      <c r="K31" s="622">
        <f t="shared" si="6"/>
        <v>0</v>
      </c>
      <c r="L31" s="553">
        <f t="shared" si="1"/>
        <v>265748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-348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246438</v>
      </c>
      <c r="J34" s="556">
        <f t="shared" si="7"/>
        <v>0</v>
      </c>
      <c r="K34" s="556">
        <f t="shared" si="7"/>
        <v>0</v>
      </c>
      <c r="L34" s="620">
        <f t="shared" si="1"/>
        <v>265748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7">
        <f>pdeReportingDate</f>
        <v>43577</v>
      </c>
      <c r="C38" s="677"/>
      <c r="D38" s="677"/>
      <c r="E38" s="677"/>
      <c r="F38" s="677"/>
      <c r="G38" s="677"/>
      <c r="H38" s="677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8" t="str">
        <f>authorName</f>
        <v>Анелия Илиева Илиева</v>
      </c>
      <c r="C40" s="678"/>
      <c r="D40" s="678"/>
      <c r="E40" s="678"/>
      <c r="F40" s="678"/>
      <c r="G40" s="678"/>
      <c r="H40" s="678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9"/>
      <c r="C42" s="679"/>
      <c r="D42" s="679"/>
      <c r="E42" s="679"/>
      <c r="F42" s="679"/>
      <c r="G42" s="679"/>
      <c r="H42" s="679"/>
      <c r="M42" s="160"/>
    </row>
    <row r="43" spans="1:13" ht="15.75">
      <c r="A43" s="663"/>
      <c r="B43" s="680" t="str">
        <f>'3-Отчет за паричния поток'!B59:E59</f>
        <v>Васил Борисов Тренев</v>
      </c>
      <c r="C43" s="675"/>
      <c r="D43" s="675"/>
      <c r="E43" s="675"/>
      <c r="F43" s="543"/>
      <c r="G43" s="44"/>
      <c r="H43" s="41"/>
      <c r="M43" s="160"/>
    </row>
    <row r="44" spans="1:13" ht="15.75">
      <c r="A44" s="663"/>
      <c r="B44" s="675" t="s">
        <v>952</v>
      </c>
      <c r="C44" s="675"/>
      <c r="D44" s="675"/>
      <c r="E44" s="675"/>
      <c r="F44" s="543"/>
      <c r="G44" s="44"/>
      <c r="H44" s="41"/>
      <c r="M44" s="160"/>
    </row>
    <row r="45" spans="1:13" ht="15.75">
      <c r="A45" s="663"/>
      <c r="B45" s="675" t="s">
        <v>952</v>
      </c>
      <c r="C45" s="675"/>
      <c r="D45" s="675"/>
      <c r="E45" s="675"/>
      <c r="F45" s="543"/>
      <c r="G45" s="44"/>
      <c r="H45" s="41"/>
      <c r="M45" s="160"/>
    </row>
    <row r="46" spans="1:13" ht="15.75">
      <c r="A46" s="663"/>
      <c r="B46" s="675" t="s">
        <v>952</v>
      </c>
      <c r="C46" s="675"/>
      <c r="D46" s="675"/>
      <c r="E46" s="675"/>
      <c r="F46" s="543"/>
      <c r="G46" s="44"/>
      <c r="H46" s="41"/>
      <c r="M46" s="160"/>
    </row>
    <row r="47" spans="1:13" ht="15.75">
      <c r="A47" s="663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63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63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19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9" t="s">
        <v>453</v>
      </c>
      <c r="B7" s="700"/>
      <c r="C7" s="70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5" t="s">
        <v>513</v>
      </c>
      <c r="R7" s="697" t="s">
        <v>514</v>
      </c>
    </row>
    <row r="8" spans="1:18" s="119" customFormat="1" ht="66.75" customHeight="1">
      <c r="A8" s="701"/>
      <c r="B8" s="702"/>
      <c r="C8" s="70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6"/>
      <c r="R8" s="69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70">
        <f>'[3]Справка 6'!$J11</f>
        <v>185</v>
      </c>
      <c r="E11" s="670">
        <v>0</v>
      </c>
      <c r="F11" s="670">
        <v>0</v>
      </c>
      <c r="G11" s="672">
        <f>D11+E11-F11</f>
        <v>185</v>
      </c>
      <c r="H11" s="670"/>
      <c r="I11" s="670"/>
      <c r="J11" s="672">
        <f>G11+H11-I11</f>
        <v>185</v>
      </c>
      <c r="K11" s="670">
        <v>0</v>
      </c>
      <c r="L11" s="670">
        <v>0</v>
      </c>
      <c r="M11" s="670">
        <v>0</v>
      </c>
      <c r="N11" s="672">
        <f>K11+L11-M11</f>
        <v>0</v>
      </c>
      <c r="O11" s="670"/>
      <c r="P11" s="670"/>
      <c r="Q11" s="672">
        <f aca="true" t="shared" si="0" ref="Q11:Q27">N11+O11-P11</f>
        <v>0</v>
      </c>
      <c r="R11" s="674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70">
        <f>'[3]Справка 6'!$J12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670"/>
      <c r="I12" s="670"/>
      <c r="J12" s="672">
        <f aca="true" t="shared" si="3" ref="J12:J41">G12+H12-I12</f>
        <v>525</v>
      </c>
      <c r="K12" s="670">
        <v>215</v>
      </c>
      <c r="L12" s="670">
        <v>20</v>
      </c>
      <c r="M12" s="670">
        <v>0</v>
      </c>
      <c r="N12" s="672">
        <f aca="true" t="shared" si="4" ref="N12:N41">K12+L12-M12</f>
        <v>235</v>
      </c>
      <c r="O12" s="670"/>
      <c r="P12" s="670"/>
      <c r="Q12" s="672">
        <f t="shared" si="0"/>
        <v>235</v>
      </c>
      <c r="R12" s="674">
        <f t="shared" si="1"/>
        <v>290</v>
      </c>
    </row>
    <row r="13" spans="1:18" ht="15.75">
      <c r="A13" s="330" t="s">
        <v>527</v>
      </c>
      <c r="B13" s="312" t="s">
        <v>528</v>
      </c>
      <c r="C13" s="143" t="s">
        <v>529</v>
      </c>
      <c r="D13" s="670">
        <f>'[3]Справка 6'!$J13</f>
        <v>33982</v>
      </c>
      <c r="E13" s="670">
        <v>3098</v>
      </c>
      <c r="F13" s="670">
        <v>655</v>
      </c>
      <c r="G13" s="672">
        <f t="shared" si="2"/>
        <v>36425</v>
      </c>
      <c r="H13" s="670"/>
      <c r="I13" s="670"/>
      <c r="J13" s="672">
        <f t="shared" si="3"/>
        <v>36425</v>
      </c>
      <c r="K13" s="670">
        <v>21503</v>
      </c>
      <c r="L13" s="670">
        <v>2782</v>
      </c>
      <c r="M13" s="670">
        <v>444.36438</v>
      </c>
      <c r="N13" s="672">
        <f t="shared" si="4"/>
        <v>23840.63562</v>
      </c>
      <c r="O13" s="670"/>
      <c r="P13" s="670"/>
      <c r="Q13" s="672">
        <f t="shared" si="0"/>
        <v>23840.63562</v>
      </c>
      <c r="R13" s="674">
        <f t="shared" si="1"/>
        <v>12584.364379999999</v>
      </c>
    </row>
    <row r="14" spans="1:18" ht="15.75">
      <c r="A14" s="330" t="s">
        <v>530</v>
      </c>
      <c r="B14" s="312" t="s">
        <v>531</v>
      </c>
      <c r="C14" s="143" t="s">
        <v>532</v>
      </c>
      <c r="D14" s="670">
        <f>'[3]Справка 6'!$J14</f>
        <v>0</v>
      </c>
      <c r="E14" s="670"/>
      <c r="F14" s="670"/>
      <c r="G14" s="672">
        <f t="shared" si="2"/>
        <v>0</v>
      </c>
      <c r="H14" s="670"/>
      <c r="I14" s="670"/>
      <c r="J14" s="672">
        <f t="shared" si="3"/>
        <v>0</v>
      </c>
      <c r="K14" s="670"/>
      <c r="L14" s="670"/>
      <c r="M14" s="670"/>
      <c r="N14" s="672">
        <f t="shared" si="4"/>
        <v>0</v>
      </c>
      <c r="O14" s="670"/>
      <c r="P14" s="670"/>
      <c r="Q14" s="672">
        <f t="shared" si="0"/>
        <v>0</v>
      </c>
      <c r="R14" s="674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70">
        <f>'[3]Справка 6'!$J15</f>
        <v>14862</v>
      </c>
      <c r="E15" s="670">
        <v>2416</v>
      </c>
      <c r="F15" s="670">
        <v>783</v>
      </c>
      <c r="G15" s="672">
        <f>D15+E15-F15</f>
        <v>16495</v>
      </c>
      <c r="H15" s="670"/>
      <c r="I15" s="670"/>
      <c r="J15" s="672">
        <f t="shared" si="3"/>
        <v>16495</v>
      </c>
      <c r="K15" s="670">
        <v>9450</v>
      </c>
      <c r="L15" s="670">
        <v>1483</v>
      </c>
      <c r="M15" s="670">
        <v>772.165</v>
      </c>
      <c r="N15" s="672">
        <f t="shared" si="4"/>
        <v>10160.835</v>
      </c>
      <c r="O15" s="670"/>
      <c r="P15" s="670"/>
      <c r="Q15" s="672">
        <f t="shared" si="0"/>
        <v>10160.835</v>
      </c>
      <c r="R15" s="674">
        <f>J15-Q15</f>
        <v>6334.165000000001</v>
      </c>
    </row>
    <row r="16" spans="1:18" ht="15.75">
      <c r="A16" s="352" t="s">
        <v>814</v>
      </c>
      <c r="B16" s="312" t="s">
        <v>536</v>
      </c>
      <c r="C16" s="143" t="s">
        <v>537</v>
      </c>
      <c r="D16" s="670">
        <f>'[3]Справка 6'!$J16</f>
        <v>0</v>
      </c>
      <c r="E16" s="670"/>
      <c r="F16" s="670"/>
      <c r="G16" s="672">
        <f t="shared" si="2"/>
        <v>0</v>
      </c>
      <c r="H16" s="670"/>
      <c r="I16" s="670"/>
      <c r="J16" s="672">
        <f t="shared" si="3"/>
        <v>0</v>
      </c>
      <c r="K16" s="670"/>
      <c r="L16" s="670"/>
      <c r="M16" s="670"/>
      <c r="N16" s="672">
        <f t="shared" si="4"/>
        <v>0</v>
      </c>
      <c r="O16" s="670"/>
      <c r="P16" s="670"/>
      <c r="Q16" s="672">
        <f t="shared" si="0"/>
        <v>0</v>
      </c>
      <c r="R16" s="674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70">
        <f>'[3]Справка 6'!$J17</f>
        <v>0</v>
      </c>
      <c r="E17" s="670">
        <v>5986</v>
      </c>
      <c r="F17" s="670">
        <v>5986</v>
      </c>
      <c r="G17" s="672">
        <f t="shared" si="2"/>
        <v>0</v>
      </c>
      <c r="H17" s="670"/>
      <c r="I17" s="670"/>
      <c r="J17" s="672">
        <f t="shared" si="3"/>
        <v>0</v>
      </c>
      <c r="K17" s="670"/>
      <c r="L17" s="670"/>
      <c r="M17" s="670"/>
      <c r="N17" s="672">
        <f t="shared" si="4"/>
        <v>0</v>
      </c>
      <c r="O17" s="670"/>
      <c r="P17" s="670"/>
      <c r="Q17" s="672">
        <f t="shared" si="0"/>
        <v>0</v>
      </c>
      <c r="R17" s="674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670">
        <f>'[3]Справка 6'!$J18</f>
        <v>1483</v>
      </c>
      <c r="E18" s="670">
        <v>472</v>
      </c>
      <c r="F18" s="670">
        <v>0</v>
      </c>
      <c r="G18" s="672">
        <f t="shared" si="2"/>
        <v>1955</v>
      </c>
      <c r="H18" s="670"/>
      <c r="I18" s="670"/>
      <c r="J18" s="672">
        <f t="shared" si="3"/>
        <v>1955</v>
      </c>
      <c r="K18" s="670">
        <v>1098</v>
      </c>
      <c r="L18" s="670">
        <v>80</v>
      </c>
      <c r="M18" s="670">
        <v>0</v>
      </c>
      <c r="N18" s="672">
        <f t="shared" si="4"/>
        <v>1178</v>
      </c>
      <c r="O18" s="670"/>
      <c r="P18" s="670"/>
      <c r="Q18" s="672">
        <f t="shared" si="0"/>
        <v>1178</v>
      </c>
      <c r="R18" s="674">
        <f t="shared" si="1"/>
        <v>777</v>
      </c>
    </row>
    <row r="19" spans="1:18" ht="15.75">
      <c r="A19" s="330"/>
      <c r="B19" s="313" t="s">
        <v>544</v>
      </c>
      <c r="C19" s="147" t="s">
        <v>545</v>
      </c>
      <c r="D19" s="671">
        <f>SUM(D11:D18)</f>
        <v>51037</v>
      </c>
      <c r="E19" s="671">
        <f>SUM(E11:E18)</f>
        <v>11972</v>
      </c>
      <c r="F19" s="671">
        <f>SUM(F11:F18)</f>
        <v>7424</v>
      </c>
      <c r="G19" s="672">
        <f t="shared" si="2"/>
        <v>55585</v>
      </c>
      <c r="H19" s="671">
        <f>SUM(H11:H18)</f>
        <v>0</v>
      </c>
      <c r="I19" s="671">
        <f>SUM(I11:I18)</f>
        <v>0</v>
      </c>
      <c r="J19" s="672">
        <f t="shared" si="3"/>
        <v>55585</v>
      </c>
      <c r="K19" s="671">
        <f>SUM(K11:K18)</f>
        <v>32266</v>
      </c>
      <c r="L19" s="671">
        <f>SUM(L11:L18)</f>
        <v>4365</v>
      </c>
      <c r="M19" s="671">
        <f>SUM(M11:M18)</f>
        <v>1216.52938</v>
      </c>
      <c r="N19" s="672">
        <f t="shared" si="4"/>
        <v>35414.47062</v>
      </c>
      <c r="O19" s="671">
        <f>SUM(O11:O18)</f>
        <v>0</v>
      </c>
      <c r="P19" s="671">
        <f>SUM(P11:P18)</f>
        <v>0</v>
      </c>
      <c r="Q19" s="672">
        <f t="shared" si="0"/>
        <v>35414.47062</v>
      </c>
      <c r="R19" s="674">
        <f t="shared" si="1"/>
        <v>20170.52938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'[3]Справка 6'!$G23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'[3]Справка 6'!$G24</f>
        <v>20497</v>
      </c>
      <c r="E24" s="670">
        <v>700</v>
      </c>
      <c r="F24" s="670"/>
      <c r="G24" s="320">
        <f t="shared" si="2"/>
        <v>21197</v>
      </c>
      <c r="H24" s="319"/>
      <c r="I24" s="319"/>
      <c r="J24" s="673">
        <f>G24+H24-I24</f>
        <v>21197</v>
      </c>
      <c r="K24" s="319">
        <v>15969</v>
      </c>
      <c r="L24" s="319">
        <v>697</v>
      </c>
      <c r="M24" s="319"/>
      <c r="N24" s="320">
        <f t="shared" si="4"/>
        <v>16666</v>
      </c>
      <c r="O24" s="319"/>
      <c r="P24" s="319"/>
      <c r="Q24" s="320">
        <f t="shared" si="0"/>
        <v>16666</v>
      </c>
      <c r="R24" s="331">
        <f t="shared" si="1"/>
        <v>4531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'[3]Справка 6'!$G25</f>
        <v>21041</v>
      </c>
      <c r="E25" s="670"/>
      <c r="F25" s="670"/>
      <c r="G25" s="320">
        <f t="shared" si="2"/>
        <v>21041</v>
      </c>
      <c r="H25" s="319"/>
      <c r="I25" s="319"/>
      <c r="J25" s="320">
        <f t="shared" si="3"/>
        <v>21041</v>
      </c>
      <c r="K25" s="319"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'[3]Справка 6'!$G26</f>
        <v>502168</v>
      </c>
      <c r="E26" s="670">
        <v>76482</v>
      </c>
      <c r="F26" s="670">
        <v>37575</v>
      </c>
      <c r="G26" s="320">
        <f t="shared" si="2"/>
        <v>541075</v>
      </c>
      <c r="H26" s="319"/>
      <c r="I26" s="319"/>
      <c r="J26" s="320">
        <f t="shared" si="3"/>
        <v>541075</v>
      </c>
      <c r="K26" s="319">
        <v>211290</v>
      </c>
      <c r="L26" s="319">
        <v>36680</v>
      </c>
      <c r="M26" s="319"/>
      <c r="N26" s="320">
        <f t="shared" si="4"/>
        <v>247970</v>
      </c>
      <c r="O26" s="319"/>
      <c r="P26" s="319"/>
      <c r="Q26" s="320">
        <f t="shared" si="0"/>
        <v>247970</v>
      </c>
      <c r="R26" s="331">
        <f t="shared" si="1"/>
        <v>293105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543706</v>
      </c>
      <c r="E27" s="323">
        <f aca="true" t="shared" si="5" ref="E27:P27">SUM(E23:E26)</f>
        <v>77182</v>
      </c>
      <c r="F27" s="323">
        <f t="shared" si="5"/>
        <v>37575</v>
      </c>
      <c r="G27" s="324">
        <f t="shared" si="2"/>
        <v>583313</v>
      </c>
      <c r="H27" s="323">
        <f t="shared" si="5"/>
        <v>0</v>
      </c>
      <c r="I27" s="323">
        <f t="shared" si="5"/>
        <v>0</v>
      </c>
      <c r="J27" s="324">
        <f t="shared" si="3"/>
        <v>583313</v>
      </c>
      <c r="K27" s="323">
        <f t="shared" si="5"/>
        <v>248296</v>
      </c>
      <c r="L27" s="323">
        <f t="shared" si="5"/>
        <v>37377</v>
      </c>
      <c r="M27" s="323">
        <f t="shared" si="5"/>
        <v>0</v>
      </c>
      <c r="N27" s="324">
        <f t="shared" si="4"/>
        <v>285673</v>
      </c>
      <c r="O27" s="323">
        <f t="shared" si="5"/>
        <v>0</v>
      </c>
      <c r="P27" s="323">
        <f t="shared" si="5"/>
        <v>0</v>
      </c>
      <c r="Q27" s="324">
        <f t="shared" si="0"/>
        <v>285673</v>
      </c>
      <c r="R27" s="334">
        <f t="shared" si="1"/>
        <v>297640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602136</v>
      </c>
      <c r="E42" s="340">
        <f>E19+E20+E21+E27+E40+E41</f>
        <v>89154</v>
      </c>
      <c r="F42" s="340">
        <f aca="true" t="shared" si="11" ref="F42:R42">F19+F20+F21+F27+F40+F41</f>
        <v>44999</v>
      </c>
      <c r="G42" s="340">
        <f t="shared" si="11"/>
        <v>646291</v>
      </c>
      <c r="H42" s="340">
        <f t="shared" si="11"/>
        <v>0</v>
      </c>
      <c r="I42" s="340">
        <f t="shared" si="11"/>
        <v>0</v>
      </c>
      <c r="J42" s="340">
        <f t="shared" si="11"/>
        <v>646291</v>
      </c>
      <c r="K42" s="340">
        <f t="shared" si="11"/>
        <v>287955</v>
      </c>
      <c r="L42" s="340">
        <f t="shared" si="11"/>
        <v>41742</v>
      </c>
      <c r="M42" s="340">
        <f t="shared" si="11"/>
        <v>1216.52938</v>
      </c>
      <c r="N42" s="340">
        <f t="shared" si="11"/>
        <v>328480.47062</v>
      </c>
      <c r="O42" s="340">
        <f t="shared" si="11"/>
        <v>0</v>
      </c>
      <c r="P42" s="340">
        <f t="shared" si="11"/>
        <v>0</v>
      </c>
      <c r="Q42" s="340">
        <f t="shared" si="11"/>
        <v>328480.47062</v>
      </c>
      <c r="R42" s="341">
        <f t="shared" si="11"/>
        <v>317810.52938</v>
      </c>
    </row>
    <row r="43" spans="1:18" ht="15.75">
      <c r="A43" s="491"/>
      <c r="B43" s="491"/>
      <c r="C43" s="491"/>
      <c r="D43" s="492">
        <f>D42-'[3]Справка 6'!$J$42</f>
        <v>0</v>
      </c>
      <c r="E43" s="492"/>
      <c r="F43" s="492"/>
      <c r="G43" s="493"/>
      <c r="H43" s="493"/>
      <c r="I43" s="493"/>
      <c r="J43" s="493"/>
      <c r="K43" s="493">
        <f>K42-'[9]Справка 6'!$N$42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7">
        <f>pdeReportingDate</f>
        <v>43577</v>
      </c>
      <c r="D45" s="677"/>
      <c r="E45" s="677"/>
      <c r="F45" s="677"/>
      <c r="G45" s="677"/>
      <c r="H45" s="677"/>
      <c r="I45" s="67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8" t="str">
        <f>authorName</f>
        <v>Анелия Илиева Илиева</v>
      </c>
      <c r="D47" s="678"/>
      <c r="E47" s="678"/>
      <c r="F47" s="678"/>
      <c r="G47" s="678"/>
      <c r="H47" s="678"/>
      <c r="I47" s="678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9"/>
      <c r="D49" s="679"/>
      <c r="E49" s="679"/>
      <c r="F49" s="679"/>
      <c r="G49" s="679"/>
      <c r="H49" s="679"/>
      <c r="I49" s="679"/>
    </row>
    <row r="50" spans="2:9" ht="15.75">
      <c r="B50" s="663"/>
      <c r="C50" s="680" t="str">
        <f>Начална!B17</f>
        <v>Васил Борисов Тренев</v>
      </c>
      <c r="D50" s="694"/>
      <c r="E50" s="694"/>
      <c r="F50" s="694"/>
      <c r="G50" s="543"/>
      <c r="H50" s="44"/>
      <c r="I50" s="41"/>
    </row>
    <row r="51" spans="2:9" ht="15.75">
      <c r="B51" s="663"/>
      <c r="C51" s="675"/>
      <c r="D51" s="675"/>
      <c r="E51" s="675"/>
      <c r="F51" s="675"/>
      <c r="G51" s="543"/>
      <c r="H51" s="44"/>
      <c r="I51" s="41"/>
    </row>
    <row r="52" spans="2:9" ht="15.75">
      <c r="B52" s="663"/>
      <c r="C52" s="675" t="s">
        <v>952</v>
      </c>
      <c r="D52" s="675"/>
      <c r="E52" s="675"/>
      <c r="F52" s="675"/>
      <c r="G52" s="543"/>
      <c r="H52" s="44"/>
      <c r="I52" s="41"/>
    </row>
    <row r="53" spans="2:9" ht="15.75">
      <c r="B53" s="663"/>
      <c r="C53" s="675" t="s">
        <v>952</v>
      </c>
      <c r="D53" s="675"/>
      <c r="E53" s="675"/>
      <c r="F53" s="675"/>
      <c r="G53" s="543"/>
      <c r="H53" s="44"/>
      <c r="I53" s="41"/>
    </row>
    <row r="54" spans="2:9" ht="15.75">
      <c r="B54" s="663"/>
      <c r="C54" s="675"/>
      <c r="D54" s="675"/>
      <c r="E54" s="675"/>
      <c r="F54" s="675"/>
      <c r="G54" s="543"/>
      <c r="H54" s="44"/>
      <c r="I54" s="41"/>
    </row>
    <row r="55" spans="2:9" ht="15.75">
      <c r="B55" s="663"/>
      <c r="C55" s="675"/>
      <c r="D55" s="675"/>
      <c r="E55" s="675"/>
      <c r="F55" s="675"/>
      <c r="G55" s="543"/>
      <c r="H55" s="44"/>
      <c r="I55" s="41"/>
    </row>
    <row r="56" spans="2:9" ht="15.75">
      <c r="B56" s="663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0">
      <selection activeCell="F107" activeCellId="1" sqref="C99 F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9" t="s">
        <v>453</v>
      </c>
      <c r="B8" s="711" t="s">
        <v>11</v>
      </c>
      <c r="C8" s="707" t="s">
        <v>587</v>
      </c>
      <c r="D8" s="356" t="s">
        <v>588</v>
      </c>
      <c r="E8" s="357"/>
      <c r="F8" s="118"/>
    </row>
    <row r="9" spans="1:6" s="119" customFormat="1" ht="15.75">
      <c r="A9" s="710"/>
      <c r="B9" s="712"/>
      <c r="C9" s="70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252</v>
      </c>
      <c r="D18" s="353">
        <f>+D19+D20</f>
        <v>0</v>
      </c>
      <c r="E18" s="360">
        <f t="shared" si="0"/>
        <v>252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252</v>
      </c>
      <c r="D20" s="359"/>
      <c r="E20" s="360">
        <f t="shared" si="0"/>
        <v>252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252</v>
      </c>
      <c r="D21" s="431">
        <f>D13+D17+D18</f>
        <v>0</v>
      </c>
      <c r="E21" s="432">
        <f>E13+E17+E18</f>
        <v>252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7086</v>
      </c>
      <c r="D23" s="434"/>
      <c r="E23" s="433">
        <f t="shared" si="0"/>
        <v>7086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</v>
      </c>
      <c r="D26" s="353">
        <f>SUM(D27:D29)</f>
        <v>25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25</v>
      </c>
      <c r="D29" s="359">
        <f>C29</f>
        <v>25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35345</v>
      </c>
      <c r="D30" s="359">
        <f>C30</f>
        <v>35345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12</v>
      </c>
      <c r="D36" s="359">
        <f>C36</f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35382</v>
      </c>
      <c r="D45" s="429">
        <f>D26+D30+D31+D33+D32+D34+D35+D40</f>
        <v>35382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42720</v>
      </c>
      <c r="D46" s="435">
        <f>D45+D23+D21+D11</f>
        <v>35382</v>
      </c>
      <c r="E46" s="436">
        <f>E45+E23+E21+E11</f>
        <v>7338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9" t="s">
        <v>453</v>
      </c>
      <c r="B50" s="711" t="s">
        <v>11</v>
      </c>
      <c r="C50" s="713" t="s">
        <v>658</v>
      </c>
      <c r="D50" s="356" t="s">
        <v>659</v>
      </c>
      <c r="E50" s="356"/>
      <c r="F50" s="715" t="s">
        <v>660</v>
      </c>
    </row>
    <row r="51" spans="1:6" s="119" customFormat="1" ht="18" customHeight="1">
      <c r="A51" s="710"/>
      <c r="B51" s="712"/>
      <c r="C51" s="714"/>
      <c r="D51" s="121" t="s">
        <v>589</v>
      </c>
      <c r="E51" s="121" t="s">
        <v>590</v>
      </c>
      <c r="F51" s="71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72859</v>
      </c>
      <c r="D58" s="129">
        <f>D59+D61</f>
        <v>24553</v>
      </c>
      <c r="E58" s="127">
        <f t="shared" si="1"/>
        <v>48306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ROUND('[12]loans_short_long'!$G$43/1000,0)</f>
        <v>72859</v>
      </c>
      <c r="D59" s="188">
        <f>ROUND('[12]loans_short_long'!$G$39/1000,0)</f>
        <v>24553</v>
      </c>
      <c r="E59" s="127">
        <f t="shared" si="1"/>
        <v>48306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'[11]1-Баланс'!G49+'[12]BS_KPMG'!$W$37+'[12]BS_KPMG'!$W$45</f>
        <v>16561</v>
      </c>
      <c r="D66" s="188">
        <f>D67</f>
        <v>1093</v>
      </c>
      <c r="E66" s="127">
        <f t="shared" si="1"/>
        <v>15468</v>
      </c>
      <c r="F66" s="187"/>
    </row>
    <row r="67" spans="1:6" ht="15.75">
      <c r="A67" s="361" t="s">
        <v>684</v>
      </c>
      <c r="B67" s="126" t="s">
        <v>685</v>
      </c>
      <c r="C67" s="188">
        <f>'[12]BS_KPMG'!$W$37+'[12]BS_KPMG'!$W$45</f>
        <v>2622</v>
      </c>
      <c r="D67" s="188">
        <f>'[12]BS_KPMG'!$W$45</f>
        <v>1093</v>
      </c>
      <c r="E67" s="127">
        <f t="shared" si="1"/>
        <v>1529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89420</v>
      </c>
      <c r="D68" s="426">
        <f>D54+D58+D63+D64+D65+D66</f>
        <v>25646</v>
      </c>
      <c r="E68" s="427">
        <f t="shared" si="1"/>
        <v>63774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3818</v>
      </c>
      <c r="D73" s="128">
        <f>SUM(D74:D76)</f>
        <v>3818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3818</v>
      </c>
      <c r="D74" s="188">
        <f>C74</f>
        <v>3818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31057</v>
      </c>
      <c r="D87" s="125">
        <f>SUM(D88:D92)+D96</f>
        <v>31057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23907</v>
      </c>
      <c r="D89" s="188">
        <f>C89</f>
        <v>23907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4866</v>
      </c>
      <c r="D91" s="188">
        <f>C91</f>
        <v>4866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1382</v>
      </c>
      <c r="D92" s="129">
        <f>SUM(D93:D95)</f>
        <v>1382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'[10]BS_KFN'!$C$41</f>
        <v>180</v>
      </c>
      <c r="D93" s="188">
        <f>C93</f>
        <v>180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ROUND('[10]17'!$Q15,0)</f>
        <v>817</v>
      </c>
      <c r="D94" s="188">
        <f>C94</f>
        <v>817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ROUND('[10]17'!$Q16,0)</f>
        <v>385</v>
      </c>
      <c r="D95" s="188">
        <f>C95</f>
        <v>385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902</v>
      </c>
      <c r="D96" s="188">
        <f>C96</f>
        <v>902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6857</v>
      </c>
      <c r="D97" s="188">
        <f>C97</f>
        <v>6857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41732</v>
      </c>
      <c r="D98" s="424">
        <f>D87+D82+D77+D73+D97</f>
        <v>41732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131152</v>
      </c>
      <c r="D99" s="418">
        <f>D98+D70+D68</f>
        <v>67378</v>
      </c>
      <c r="E99" s="418">
        <f>E98+E70+E68</f>
        <v>63774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ROUND('[12]NoteBS'!$C$108,0)</f>
        <v>3154</v>
      </c>
      <c r="D104" s="207">
        <f>ROUND('[12]NoteBS'!$D$108,0)</f>
        <v>1618</v>
      </c>
      <c r="E104" s="207">
        <f>ROUND(-'[12]NoteBS'!$E$108-'[12]NoteBS'!$F$108,0)</f>
        <v>2937</v>
      </c>
      <c r="F104" s="412">
        <f>C104+D104-E104</f>
        <v>1835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ROUND(-'[1]FInst,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3154</v>
      </c>
      <c r="D107" s="416">
        <f>SUM(D104:D106)</f>
        <v>1618</v>
      </c>
      <c r="E107" s="416">
        <f>SUM(E104:E106)</f>
        <v>2937</v>
      </c>
      <c r="F107" s="417">
        <f>SUM(F104:F106)</f>
        <v>1835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6" t="s">
        <v>817</v>
      </c>
      <c r="B109" s="706"/>
      <c r="C109" s="706"/>
      <c r="D109" s="706"/>
      <c r="E109" s="706"/>
      <c r="F109" s="70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7">
        <f>pdeReportingDate</f>
        <v>43577</v>
      </c>
      <c r="C111" s="677"/>
      <c r="D111" s="677"/>
      <c r="E111" s="677"/>
      <c r="F111" s="677"/>
      <c r="G111" s="51"/>
      <c r="H111" s="51"/>
    </row>
    <row r="112" spans="1:8" ht="15.75">
      <c r="A112" s="661"/>
      <c r="B112" s="677"/>
      <c r="C112" s="677"/>
      <c r="D112" s="677"/>
      <c r="E112" s="677"/>
      <c r="F112" s="677"/>
      <c r="G112" s="51"/>
      <c r="H112" s="51"/>
    </row>
    <row r="113" spans="1:8" ht="15.75">
      <c r="A113" s="662" t="s">
        <v>8</v>
      </c>
      <c r="B113" s="678" t="str">
        <f>authorName</f>
        <v>Анелия Илиева Илиева</v>
      </c>
      <c r="C113" s="678"/>
      <c r="D113" s="678"/>
      <c r="E113" s="678"/>
      <c r="F113" s="678"/>
      <c r="G113" s="75"/>
      <c r="H113" s="75"/>
    </row>
    <row r="114" spans="1:8" ht="15.75">
      <c r="A114" s="662"/>
      <c r="B114" s="678"/>
      <c r="C114" s="678"/>
      <c r="D114" s="678"/>
      <c r="E114" s="678"/>
      <c r="F114" s="678"/>
      <c r="G114" s="75"/>
      <c r="H114" s="75"/>
    </row>
    <row r="115" spans="1:8" ht="15.75">
      <c r="A115" s="662" t="s">
        <v>894</v>
      </c>
      <c r="B115" s="679"/>
      <c r="C115" s="679"/>
      <c r="D115" s="679"/>
      <c r="E115" s="679"/>
      <c r="F115" s="679"/>
      <c r="G115" s="77"/>
      <c r="H115" s="77"/>
    </row>
    <row r="116" spans="1:8" ht="15.75" customHeight="1">
      <c r="A116" s="663"/>
      <c r="B116" s="680" t="str">
        <f>Начална!B17</f>
        <v>Васил Борисов Тренев</v>
      </c>
      <c r="C116" s="675"/>
      <c r="D116" s="675"/>
      <c r="E116" s="675"/>
      <c r="F116" s="675"/>
      <c r="G116" s="663"/>
      <c r="H116" s="663"/>
    </row>
    <row r="117" spans="1:8" ht="15.75" customHeight="1">
      <c r="A117" s="663"/>
      <c r="B117" s="675" t="s">
        <v>952</v>
      </c>
      <c r="C117" s="675"/>
      <c r="D117" s="675"/>
      <c r="E117" s="675"/>
      <c r="F117" s="675"/>
      <c r="G117" s="663"/>
      <c r="H117" s="663"/>
    </row>
    <row r="118" spans="1:8" ht="15.75" customHeight="1">
      <c r="A118" s="663"/>
      <c r="B118" s="705"/>
      <c r="C118" s="675"/>
      <c r="D118" s="675"/>
      <c r="E118" s="675"/>
      <c r="F118" s="675"/>
      <c r="G118" s="663"/>
      <c r="H118" s="663"/>
    </row>
    <row r="119" spans="1:8" ht="15.75" customHeight="1">
      <c r="A119" s="669"/>
      <c r="B119" s="705"/>
      <c r="C119" s="675"/>
      <c r="D119" s="675"/>
      <c r="E119" s="675"/>
      <c r="F119" s="675"/>
      <c r="G119" s="663"/>
      <c r="H119" s="663"/>
    </row>
    <row r="120" spans="1:8" ht="15.75">
      <c r="A120" s="669"/>
      <c r="B120" s="705"/>
      <c r="C120" s="675"/>
      <c r="D120" s="675"/>
      <c r="E120" s="675"/>
      <c r="F120" s="675"/>
      <c r="G120" s="663"/>
      <c r="H120" s="663"/>
    </row>
    <row r="121" spans="1:8" ht="15.75">
      <c r="A121" s="668"/>
      <c r="B121" s="705"/>
      <c r="C121" s="675"/>
      <c r="D121" s="675"/>
      <c r="E121" s="675"/>
      <c r="F121" s="675"/>
      <c r="G121" s="663"/>
      <c r="H121" s="663"/>
    </row>
    <row r="122" spans="1:8" ht="15.75">
      <c r="A122" s="663"/>
      <c r="B122" s="675"/>
      <c r="C122" s="675"/>
      <c r="D122" s="675"/>
      <c r="E122" s="675"/>
      <c r="F122" s="675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9" t="s">
        <v>453</v>
      </c>
      <c r="B8" s="72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20"/>
      <c r="B9" s="725"/>
      <c r="C9" s="722" t="s">
        <v>756</v>
      </c>
      <c r="D9" s="722" t="s">
        <v>757</v>
      </c>
      <c r="E9" s="722" t="s">
        <v>758</v>
      </c>
      <c r="F9" s="722" t="s">
        <v>759</v>
      </c>
      <c r="G9" s="104" t="s">
        <v>760</v>
      </c>
      <c r="H9" s="104"/>
      <c r="I9" s="723" t="s">
        <v>818</v>
      </c>
    </row>
    <row r="10" spans="1:9" s="103" customFormat="1" ht="24" customHeight="1">
      <c r="A10" s="720"/>
      <c r="B10" s="725"/>
      <c r="C10" s="722"/>
      <c r="D10" s="722"/>
      <c r="E10" s="722"/>
      <c r="F10" s="722"/>
      <c r="G10" s="106" t="s">
        <v>516</v>
      </c>
      <c r="H10" s="106" t="s">
        <v>517</v>
      </c>
      <c r="I10" s="72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1" t="s">
        <v>819</v>
      </c>
      <c r="B29" s="721"/>
      <c r="C29" s="721"/>
      <c r="D29" s="721"/>
      <c r="E29" s="721"/>
      <c r="F29" s="721"/>
      <c r="G29" s="721"/>
      <c r="H29" s="721"/>
      <c r="I29" s="72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7">
        <f>pdeReportingDate</f>
        <v>43577</v>
      </c>
      <c r="C31" s="677"/>
      <c r="D31" s="677"/>
      <c r="E31" s="677"/>
      <c r="F31" s="677"/>
      <c r="G31" s="115"/>
      <c r="H31" s="115"/>
      <c r="I31" s="115"/>
    </row>
    <row r="32" spans="1:9" s="107" customFormat="1" ht="15.75">
      <c r="A32" s="661"/>
      <c r="B32" s="677"/>
      <c r="C32" s="677"/>
      <c r="D32" s="677"/>
      <c r="E32" s="677"/>
      <c r="F32" s="677"/>
      <c r="G32" s="115"/>
      <c r="H32" s="115"/>
      <c r="I32" s="115"/>
    </row>
    <row r="33" spans="1:9" s="107" customFormat="1" ht="15.75">
      <c r="A33" s="662" t="s">
        <v>8</v>
      </c>
      <c r="B33" s="678" t="str">
        <f>authorName</f>
        <v>Анелия Илиева Илиева</v>
      </c>
      <c r="C33" s="678"/>
      <c r="D33" s="678"/>
      <c r="E33" s="678"/>
      <c r="F33" s="678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80" t="str">
        <f>Начална!B17</f>
        <v>Васил Борисов Тренев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63"/>
      <c r="B37" s="675" t="s">
        <v>952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63"/>
      <c r="B38" s="675" t="s">
        <v>952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63"/>
      <c r="B39" s="675" t="s">
        <v>952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63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63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63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398734.52938</v>
      </c>
      <c r="D6" s="644">
        <f aca="true" t="shared" si="0" ref="D6:D15">C6-E6</f>
        <v>-0.4706199999782257</v>
      </c>
      <c r="E6" s="643">
        <f>'1-Баланс'!G95</f>
        <v>398735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265748</v>
      </c>
      <c r="D7" s="644">
        <f t="shared" si="0"/>
        <v>256864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31211</v>
      </c>
      <c r="D8" s="644">
        <f t="shared" si="0"/>
        <v>-69</v>
      </c>
      <c r="E8" s="643">
        <f>ABS('2-Отчет за доходите'!C44)-ABS('2-Отчет за доходите'!G44)</f>
        <v>31280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25864</v>
      </c>
      <c r="D9" s="644">
        <f t="shared" si="0"/>
        <v>0.15121999999973923</v>
      </c>
      <c r="E9" s="643">
        <f>'3-Отчет за паричния поток'!C45</f>
        <v>25863.84878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36015</v>
      </c>
      <c r="D10" s="644">
        <f t="shared" si="0"/>
        <v>0.28570000000763685</v>
      </c>
      <c r="E10" s="643">
        <f>'3-Отчет за паричния поток'!C46</f>
        <v>36014.71429999999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265748</v>
      </c>
      <c r="D11" s="644">
        <f t="shared" si="0"/>
        <v>0</v>
      </c>
      <c r="E11" s="643">
        <f>'4-Отчет за собствения капитал'!L34</f>
        <v>265748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консолидирана основа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2019-04-15T10:32:25Z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2018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консолидирана основа</vt:lpwstr>
  </property>
  <property fmtid="{D5CDD505-2E9C-101B-9397-08002B2CF9AE}" pid="6" name="Catego">
    <vt:lpwstr>6</vt:lpwstr>
  </property>
  <property fmtid="{D5CDD505-2E9C-101B-9397-08002B2CF9AE}" pid="7" name="Subcatego">
    <vt:lpwstr>Годишни доклади</vt:lpwstr>
  </property>
</Properties>
</file>