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535" windowHeight="1245" tabRatio="89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<sst xmlns="http://schemas.openxmlformats.org/spreadsheetml/2006/main" count="4306" uniqueCount="1002">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</sst>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sepatare_ful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Trial%20Balance_0619_in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Trial%20Balance_Y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Poli\Cash%20Flow%202019\December%202019\CF_December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G12">
            <v>8884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290</v>
          </cell>
          <cell r="G13">
            <v>8884</v>
          </cell>
        </row>
        <row r="14">
          <cell r="C14">
            <v>12584</v>
          </cell>
        </row>
        <row r="15">
          <cell r="C15">
            <v>0</v>
          </cell>
        </row>
        <row r="16">
          <cell r="C16">
            <v>6335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25">
          <cell r="C25">
            <v>4529.69844</v>
          </cell>
        </row>
        <row r="26">
          <cell r="C26">
            <v>3.508720000001631</v>
          </cell>
        </row>
        <row r="45">
          <cell r="G45">
            <v>49835</v>
          </cell>
        </row>
        <row r="49">
          <cell r="G49">
            <v>13939</v>
          </cell>
        </row>
        <row r="51">
          <cell r="C51">
            <v>250</v>
          </cell>
        </row>
        <row r="59">
          <cell r="G59">
            <v>25646</v>
          </cell>
        </row>
        <row r="62">
          <cell r="G62">
            <v>3818</v>
          </cell>
        </row>
        <row r="64">
          <cell r="G64">
            <v>23903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G68">
            <v>1382</v>
          </cell>
        </row>
        <row r="69">
          <cell r="G69">
            <v>6855</v>
          </cell>
        </row>
        <row r="70">
          <cell r="G70">
            <v>1835</v>
          </cell>
        </row>
        <row r="73">
          <cell r="C73">
            <v>0</v>
          </cell>
        </row>
        <row r="88">
          <cell r="C88">
            <v>84</v>
          </cell>
        </row>
        <row r="89">
          <cell r="C89">
            <v>35730</v>
          </cell>
        </row>
      </sheetData>
      <sheetData sheetId="2">
        <row r="21">
          <cell r="C21">
            <v>826</v>
          </cell>
        </row>
        <row r="22">
          <cell r="G22">
            <v>30</v>
          </cell>
        </row>
        <row r="25">
          <cell r="C25">
            <v>2566</v>
          </cell>
          <cell r="G25">
            <v>0</v>
          </cell>
        </row>
        <row r="26">
          <cell r="G26">
            <v>7</v>
          </cell>
        </row>
        <row r="27">
          <cell r="C27">
            <v>71</v>
          </cell>
        </row>
        <row r="28">
          <cell r="C28">
            <v>104</v>
          </cell>
        </row>
        <row r="39">
          <cell r="C39">
            <v>4276.25113289363</v>
          </cell>
        </row>
      </sheetData>
      <sheetData sheetId="3">
        <row r="11">
          <cell r="C11">
            <v>188917</v>
          </cell>
        </row>
        <row r="14">
          <cell r="C14">
            <v>-30673</v>
          </cell>
        </row>
        <row r="15">
          <cell r="C15">
            <v>-17404</v>
          </cell>
        </row>
        <row r="16">
          <cell r="C16">
            <v>-4701</v>
          </cell>
        </row>
        <row r="20">
          <cell r="C20">
            <v>-56711</v>
          </cell>
        </row>
        <row r="23">
          <cell r="C23">
            <v>-40182</v>
          </cell>
        </row>
        <row r="37">
          <cell r="C37">
            <v>98320</v>
          </cell>
        </row>
        <row r="38">
          <cell r="C38">
            <v>-123184</v>
          </cell>
        </row>
        <row r="39">
          <cell r="C39">
            <v>-1350</v>
          </cell>
        </row>
        <row r="40">
          <cell r="C40">
            <v>-3127</v>
          </cell>
        </row>
        <row r="42">
          <cell r="C42">
            <v>249</v>
          </cell>
        </row>
        <row r="45">
          <cell r="C45">
            <v>25662</v>
          </cell>
        </row>
        <row r="48">
          <cell r="C48">
            <v>775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6">
        <row r="19">
          <cell r="W19">
            <v>0</v>
          </cell>
        </row>
        <row r="28">
          <cell r="W28">
            <v>8884</v>
          </cell>
        </row>
        <row r="29">
          <cell r="W29">
            <v>10774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19_Dec"/>
      <sheetName val="PPE note IFRS16"/>
      <sheetName val="PPE note"/>
      <sheetName val="IA note"/>
      <sheetName val="50"/>
      <sheetName val="40113"/>
      <sheetName val="49912"/>
      <sheetName val="49911,40"/>
      <sheetName val="49909"/>
      <sheetName val="GBP"/>
      <sheetName val="USD"/>
      <sheetName val="613"/>
      <sheetName val="14,18"/>
      <sheetName val="159_2005-2010"/>
      <sheetName val="VIK"/>
      <sheetName val="VEV"/>
      <sheetName val="VES"/>
      <sheetName val="VEB"/>
      <sheetName val="VSB"/>
      <sheetName val="SADE"/>
      <sheetName val="wise"/>
      <sheetName val="ZONA 2"/>
      <sheetName val="OKUBRATOVO1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2">
        <row r="517">
          <cell r="L517">
            <v>-335706.34</v>
          </cell>
        </row>
        <row r="521">
          <cell r="L521">
            <v>1088930.25</v>
          </cell>
        </row>
      </sheetData>
      <sheetData sheetId="3">
        <row r="19">
          <cell r="G19">
            <v>1088930.25</v>
          </cell>
          <cell r="AO19">
            <v>174593.90999999992</v>
          </cell>
        </row>
        <row r="113">
          <cell r="F113">
            <v>5593810.056751221</v>
          </cell>
        </row>
        <row r="115">
          <cell r="F115">
            <v>-956197.8743858595</v>
          </cell>
        </row>
      </sheetData>
      <sheetData sheetId="4">
        <row r="5">
          <cell r="AK5">
            <v>174322</v>
          </cell>
          <cell r="AL5">
            <v>158731</v>
          </cell>
        </row>
        <row r="6">
          <cell r="AK6">
            <v>1350</v>
          </cell>
          <cell r="AL6">
            <v>939</v>
          </cell>
        </row>
        <row r="7">
          <cell r="AK7">
            <v>30568</v>
          </cell>
          <cell r="AL7">
            <v>31530</v>
          </cell>
        </row>
        <row r="10">
          <cell r="AK10">
            <v>-12592</v>
          </cell>
          <cell r="AL10">
            <v>-11997</v>
          </cell>
        </row>
        <row r="11">
          <cell r="AK11">
            <v>-50528</v>
          </cell>
          <cell r="AL11">
            <v>-50112</v>
          </cell>
        </row>
        <row r="12">
          <cell r="AK12">
            <v>-50036</v>
          </cell>
          <cell r="AL12">
            <v>-42644</v>
          </cell>
        </row>
        <row r="13">
          <cell r="AK13">
            <v>-27081</v>
          </cell>
          <cell r="AL13">
            <v>-27549</v>
          </cell>
        </row>
        <row r="14">
          <cell r="AK14">
            <v>-7762</v>
          </cell>
          <cell r="AL14">
            <v>-5699</v>
          </cell>
        </row>
        <row r="15">
          <cell r="AK15">
            <v>-8691</v>
          </cell>
          <cell r="AL15">
            <v>-8516</v>
          </cell>
        </row>
        <row r="16">
          <cell r="AK16">
            <v>-7129</v>
          </cell>
          <cell r="AL16">
            <v>-8249</v>
          </cell>
        </row>
        <row r="27">
          <cell r="AL27">
            <v>30065</v>
          </cell>
        </row>
      </sheetData>
      <sheetData sheetId="6">
        <row r="9">
          <cell r="X9">
            <v>283515</v>
          </cell>
        </row>
        <row r="11">
          <cell r="W11">
            <v>5</v>
          </cell>
          <cell r="X11">
            <v>5</v>
          </cell>
        </row>
        <row r="12">
          <cell r="W12">
            <v>8907</v>
          </cell>
          <cell r="X12">
            <v>7950</v>
          </cell>
        </row>
        <row r="17">
          <cell r="W17">
            <v>2344</v>
          </cell>
          <cell r="X17">
            <v>2189</v>
          </cell>
        </row>
        <row r="19">
          <cell r="W19">
            <v>28201</v>
          </cell>
          <cell r="X19">
            <v>25403</v>
          </cell>
        </row>
        <row r="20">
          <cell r="W20">
            <v>10527</v>
          </cell>
          <cell r="X20">
            <v>9936</v>
          </cell>
        </row>
        <row r="21">
          <cell r="W21">
            <v>85</v>
          </cell>
          <cell r="X21">
            <v>25</v>
          </cell>
        </row>
        <row r="25">
          <cell r="W25">
            <v>401883</v>
          </cell>
          <cell r="X25">
            <v>385258</v>
          </cell>
        </row>
        <row r="31">
          <cell r="X31">
            <v>238101</v>
          </cell>
        </row>
        <row r="34">
          <cell r="P34">
            <v>-469</v>
          </cell>
        </row>
        <row r="36">
          <cell r="W36">
            <v>22364</v>
          </cell>
        </row>
        <row r="37">
          <cell r="W37">
            <v>769</v>
          </cell>
        </row>
        <row r="38">
          <cell r="W38">
            <v>1567</v>
          </cell>
        </row>
        <row r="40">
          <cell r="W40">
            <v>6436</v>
          </cell>
        </row>
        <row r="44">
          <cell r="W44">
            <v>22215</v>
          </cell>
        </row>
        <row r="45">
          <cell r="W45">
            <v>1324</v>
          </cell>
        </row>
        <row r="47">
          <cell r="W47">
            <v>5516</v>
          </cell>
        </row>
        <row r="48">
          <cell r="W48">
            <v>450</v>
          </cell>
        </row>
        <row r="49">
          <cell r="W49">
            <v>3653</v>
          </cell>
        </row>
        <row r="51">
          <cell r="W51">
            <v>2573</v>
          </cell>
        </row>
        <row r="52">
          <cell r="W52">
            <v>746</v>
          </cell>
        </row>
        <row r="57">
          <cell r="W57">
            <v>401883</v>
          </cell>
        </row>
      </sheetData>
      <sheetData sheetId="8">
        <row r="81">
          <cell r="C81">
            <v>7243.95</v>
          </cell>
        </row>
        <row r="83">
          <cell r="C83">
            <v>2325.22</v>
          </cell>
        </row>
        <row r="85">
          <cell r="C85">
            <v>403.41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-1174381.01</v>
          </cell>
        </row>
        <row r="91">
          <cell r="C91">
            <v>-38614.25</v>
          </cell>
        </row>
        <row r="92">
          <cell r="C92">
            <v>-18325</v>
          </cell>
        </row>
        <row r="93">
          <cell r="C93">
            <v>-4422.86</v>
          </cell>
        </row>
        <row r="94">
          <cell r="C94">
            <v>-3601.12</v>
          </cell>
        </row>
        <row r="95">
          <cell r="C95">
            <v>-58586.55</v>
          </cell>
        </row>
        <row r="96">
          <cell r="C96">
            <v>-20157.49</v>
          </cell>
        </row>
      </sheetData>
      <sheetData sheetId="9">
        <row r="40">
          <cell r="E40">
            <v>46</v>
          </cell>
        </row>
        <row r="43">
          <cell r="E43">
            <v>48864</v>
          </cell>
        </row>
        <row r="54">
          <cell r="E54">
            <v>21964</v>
          </cell>
        </row>
        <row r="55">
          <cell r="E55">
            <v>2824</v>
          </cell>
        </row>
        <row r="56">
          <cell r="E56">
            <v>5530</v>
          </cell>
        </row>
        <row r="57">
          <cell r="E57">
            <v>790</v>
          </cell>
        </row>
        <row r="59">
          <cell r="G59">
            <v>818.7327344619999</v>
          </cell>
        </row>
        <row r="62">
          <cell r="E62">
            <v>951</v>
          </cell>
        </row>
        <row r="63">
          <cell r="G63">
            <v>1426</v>
          </cell>
        </row>
        <row r="64">
          <cell r="E64">
            <v>3193.83826</v>
          </cell>
        </row>
        <row r="65">
          <cell r="E65">
            <v>1262.84123</v>
          </cell>
        </row>
        <row r="66">
          <cell r="E66">
            <v>415.87784999999997</v>
          </cell>
        </row>
        <row r="67">
          <cell r="E67">
            <v>1036</v>
          </cell>
        </row>
        <row r="107">
          <cell r="C107">
            <v>1104.3416200000001</v>
          </cell>
        </row>
        <row r="108">
          <cell r="C108">
            <v>731</v>
          </cell>
          <cell r="D108">
            <v>165</v>
          </cell>
          <cell r="E108">
            <v>-17</v>
          </cell>
          <cell r="F108">
            <v>-501</v>
          </cell>
        </row>
        <row r="109">
          <cell r="D109">
            <v>1088.93025</v>
          </cell>
        </row>
      </sheetData>
      <sheetData sheetId="43">
        <row r="39">
          <cell r="G39">
            <v>22214981.319126535</v>
          </cell>
        </row>
        <row r="43">
          <cell r="G43">
            <v>44579415.42285009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s"/>
      <sheetName val="Variances F1"/>
      <sheetName val="Variances_F2"/>
      <sheetName val="CF Monthly"/>
      <sheetName val="Cash Flow LBE 2019"/>
      <sheetName val="CF by banks"/>
      <sheetName val="CF by banks 000"/>
      <sheetName val="Budget CF"/>
      <sheetName val="check"/>
    </sheetNames>
    <sheetDataSet>
      <sheetData sheetId="4">
        <row r="12">
          <cell r="O12">
            <v>202239.94629999998</v>
          </cell>
        </row>
        <row r="14">
          <cell r="O14">
            <v>-31953.434829999995</v>
          </cell>
        </row>
        <row r="15">
          <cell r="O15">
            <v>-2451.058919999999</v>
          </cell>
        </row>
        <row r="16">
          <cell r="O16">
            <v>-18057.376166666672</v>
          </cell>
        </row>
        <row r="17">
          <cell r="O17">
            <v>-1280.51177</v>
          </cell>
        </row>
        <row r="18">
          <cell r="O18">
            <v>0</v>
          </cell>
        </row>
        <row r="19">
          <cell r="O19">
            <v>-1387.2812583333332</v>
          </cell>
        </row>
        <row r="20">
          <cell r="O20">
            <v>-401.23806</v>
          </cell>
        </row>
        <row r="21">
          <cell r="O21">
            <v>-8771.510571666668</v>
          </cell>
        </row>
        <row r="22">
          <cell r="O22">
            <v>-6131.926567333329</v>
          </cell>
        </row>
        <row r="30">
          <cell r="O30">
            <v>-21215.043918000003</v>
          </cell>
        </row>
        <row r="36">
          <cell r="O36">
            <v>-42012.176027999994</v>
          </cell>
        </row>
        <row r="38">
          <cell r="O38">
            <v>-5325.05779</v>
          </cell>
        </row>
        <row r="39">
          <cell r="O39">
            <v>-18478.697630000002</v>
          </cell>
        </row>
        <row r="40">
          <cell r="O40">
            <v>-223.03912</v>
          </cell>
        </row>
        <row r="43">
          <cell r="O43">
            <v>-846.8576599999999</v>
          </cell>
        </row>
        <row r="46">
          <cell r="O46">
            <v>250.87184000000002</v>
          </cell>
        </row>
        <row r="49">
          <cell r="O49">
            <v>-1148.5016099999998</v>
          </cell>
        </row>
        <row r="55">
          <cell r="O55">
            <v>-28606.93057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44029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43466</v>
      </c>
    </row>
    <row r="10" spans="1:2" ht="15.75">
      <c r="A10" s="7" t="s">
        <v>2</v>
      </c>
      <c r="B10" s="575">
        <v>43830</v>
      </c>
    </row>
    <row r="11" spans="1:2" ht="15.75">
      <c r="A11" s="7" t="s">
        <v>977</v>
      </c>
      <c r="B11" s="575">
        <v>44029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1001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6" t="s">
        <v>997</v>
      </c>
    </row>
    <row r="27" spans="1:2" ht="15.75">
      <c r="A27" s="10" t="s">
        <v>971</v>
      </c>
      <c r="B27" s="576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01.01.2019 г. до 31.12.2019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401883.0998500001</v>
      </c>
      <c r="D6" s="672">
        <f aca="true" t="shared" si="0" ref="D6:D15">C6-E6</f>
        <v>-0.3135999998776242</v>
      </c>
      <c r="E6" s="671">
        <f>'1-Баланс'!G95</f>
        <v>401883.41345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294057.41345</v>
      </c>
      <c r="D7" s="672">
        <f t="shared" si="0"/>
        <v>285173.41345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36475.41344999999</v>
      </c>
      <c r="D8" s="672">
        <f t="shared" si="0"/>
        <v>0</v>
      </c>
      <c r="E8" s="671">
        <f>ABS('2-Отчет за доходите'!C44)-ABS('2-Отчет за доходите'!G44)</f>
        <v>36475.41344999999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35814</v>
      </c>
      <c r="D9" s="672">
        <f t="shared" si="0"/>
        <v>0</v>
      </c>
      <c r="E9" s="671">
        <f>'3-Отчет за паричния поток'!C45</f>
        <v>35814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49998.93025</v>
      </c>
      <c r="D10" s="672">
        <f t="shared" si="0"/>
        <v>-0.06975000000238651</v>
      </c>
      <c r="E10" s="671">
        <f>'3-Отчет за паричния поток'!C46</f>
        <v>49999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294057.41345</v>
      </c>
      <c r="D11" s="672">
        <f t="shared" si="0"/>
        <v>0</v>
      </c>
      <c r="E11" s="671">
        <f>'4-Отчет за собствения капитал'!L34</f>
        <v>294057.41345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0.17685906443948793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0.1240418087816789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0.33828031689944904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0.0907612523731756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1.248966109261025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1.1886286380232103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1.1580640272525753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0.6519615367062198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0.6519615367062198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0.6784554760117867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0.5131840579436596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0.09574609666805968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0.3666834946786138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0.2683019018223091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42352.41344999999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0.14402770177804539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0.44794382278787875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1.1670944004071975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655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10787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7985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-0.31315000000086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812.3131500000009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20424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4196.759410000002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3.017440000003262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277016.79884000006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281216.5756900001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174.5939099999999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174.5939099999999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8907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310727.1696000001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2344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2344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85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38728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38813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46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49952.93025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49998.93025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91155.93025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401883.0998500001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-469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10305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238393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238393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36475.41344999999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274868.41345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294057.41345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23133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8003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31136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31136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23539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44393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3653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32130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5530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951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2129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6185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2573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76690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76690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401883.41345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12592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50528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50036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27081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7762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15820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8691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753.2239099999999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163819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1239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20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58.58655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1317.58655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165136.58655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41113.41344999999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165136.58655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41113.41344999999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4638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5594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-956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36475.41344999999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36475.41344999999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206250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175672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30568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206240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206250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206250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206250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202240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-31953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-18702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-5325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-59713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86547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-42012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-42012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-28607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-1147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-847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251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-30350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43830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14185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43830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35814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43830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49999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43830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49999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43830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1088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43830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43830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43830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43830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43830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43830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43830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43830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43830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43830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43830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43830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43830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43830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43830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43830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43830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43830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43830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43830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43830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43830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43830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43830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43830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43830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43830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43830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43830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43830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43830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43830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43830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43830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43830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43830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43830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43830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43830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43830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43830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43830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43830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43830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43830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-348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43830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43830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43830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43830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-348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43830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43830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43830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43830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43830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43830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43830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43830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43830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-121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43830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-121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43830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43830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43830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43830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-469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43830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43830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43830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-469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43830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43830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43830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43830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43830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43830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43830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43830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43830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43830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43830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43830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43830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43830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43830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43830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43830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43830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43830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43830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43830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43830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43830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43830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43830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43830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43830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43830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43830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43830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43830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43830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43830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43830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43830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43830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43830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43830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43830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43830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43830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43830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43830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43830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43830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43830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43830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43830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43830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43830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43830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43830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43830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43830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43830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43830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43830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43830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43830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43830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43830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43830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43830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43830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43830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43830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43830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238449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43830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-56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43830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-56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43830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43830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238393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43830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36475.41344999999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43830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43830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43830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43830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43830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43830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43830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43830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43830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43830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43830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43830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43830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274868.41345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43830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43830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43830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274868.41345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43830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43830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43830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43830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43830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43830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43830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43830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43830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43830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43830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43830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43830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43830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43830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43830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43830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43830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43830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43830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43830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43830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43830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43830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43830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43830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43830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43830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43830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43830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43830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43830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43830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43830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43830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43830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43830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43830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43830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43830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43830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43830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43830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43830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43830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257759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43830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-56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43830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-56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43830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43830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257703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43830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36475.41344999999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43830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43830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43830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43830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43830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43830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43830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43830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-121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43830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-121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43830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43830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43830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43830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294057.41345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43830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43830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43830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294057.41345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43830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43830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43830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43830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43830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43830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43830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43830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43830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43830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43830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43830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43830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43830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43830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43830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43830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43830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43830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43830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43830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43830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43830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43830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43830</v>
      </c>
      <c r="D463" s="105" t="s">
        <v>529</v>
      </c>
      <c r="E463" s="493">
        <v>1</v>
      </c>
      <c r="F463" s="105" t="s">
        <v>528</v>
      </c>
      <c r="H463" s="105">
        <f>'Справка 6'!D13</f>
        <v>36407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43830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43830</v>
      </c>
      <c r="D465" s="105" t="s">
        <v>535</v>
      </c>
      <c r="E465" s="493">
        <v>1</v>
      </c>
      <c r="F465" s="105" t="s">
        <v>534</v>
      </c>
      <c r="H465" s="105">
        <f>'Справка 6'!D15</f>
        <v>16485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43830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43830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43830</v>
      </c>
      <c r="D468" s="105" t="s">
        <v>543</v>
      </c>
      <c r="E468" s="493">
        <v>1</v>
      </c>
      <c r="F468" s="105" t="s">
        <v>542</v>
      </c>
      <c r="H468" s="105">
        <f>'Справка 6'!D18</f>
        <v>1954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43830</v>
      </c>
      <c r="D469" s="105" t="s">
        <v>545</v>
      </c>
      <c r="E469" s="493">
        <v>1</v>
      </c>
      <c r="F469" s="105" t="s">
        <v>828</v>
      </c>
      <c r="H469" s="105">
        <f>'Справка 6'!D19</f>
        <v>55556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43830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43830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43830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43830</v>
      </c>
      <c r="D473" s="105" t="s">
        <v>555</v>
      </c>
      <c r="E473" s="493">
        <v>1</v>
      </c>
      <c r="F473" s="105" t="s">
        <v>554</v>
      </c>
      <c r="H473" s="105">
        <f>'Справка 6'!D24</f>
        <v>21195.47518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43830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43830</v>
      </c>
      <c r="D475" s="105" t="s">
        <v>558</v>
      </c>
      <c r="E475" s="493">
        <v>1</v>
      </c>
      <c r="F475" s="105" t="s">
        <v>542</v>
      </c>
      <c r="H475" s="105">
        <f>'Справка 6'!D26</f>
        <v>534139.52482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43830</v>
      </c>
      <c r="D476" s="105" t="s">
        <v>560</v>
      </c>
      <c r="E476" s="493">
        <v>1</v>
      </c>
      <c r="F476" s="105" t="s">
        <v>863</v>
      </c>
      <c r="H476" s="105">
        <f>'Справка 6'!D27</f>
        <v>576376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43830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43830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43830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43830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43830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43830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43830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43830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43830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43830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43830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43830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43830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43830</v>
      </c>
      <c r="D490" s="105" t="s">
        <v>583</v>
      </c>
      <c r="E490" s="493">
        <v>1</v>
      </c>
      <c r="F490" s="105" t="s">
        <v>582</v>
      </c>
      <c r="H490" s="105">
        <f>'Справка 6'!D42</f>
        <v>639325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43830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43830</v>
      </c>
      <c r="D492" s="105" t="s">
        <v>526</v>
      </c>
      <c r="E492" s="493">
        <v>2</v>
      </c>
      <c r="F492" s="105" t="s">
        <v>525</v>
      </c>
      <c r="H492" s="105">
        <f>'Справка 6'!E12</f>
        <v>4092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43830</v>
      </c>
      <c r="D493" s="105" t="s">
        <v>529</v>
      </c>
      <c r="E493" s="493">
        <v>2</v>
      </c>
      <c r="F493" s="105" t="s">
        <v>528</v>
      </c>
      <c r="H493" s="105">
        <f>'Справка 6'!E13</f>
        <v>2080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43830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43830</v>
      </c>
      <c r="D495" s="105" t="s">
        <v>535</v>
      </c>
      <c r="E495" s="493">
        <v>2</v>
      </c>
      <c r="F495" s="105" t="s">
        <v>534</v>
      </c>
      <c r="H495" s="105">
        <f>'Справка 6'!E15</f>
        <v>3281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43830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43830</v>
      </c>
      <c r="D497" s="105" t="s">
        <v>540</v>
      </c>
      <c r="E497" s="493">
        <v>2</v>
      </c>
      <c r="F497" s="105" t="s">
        <v>539</v>
      </c>
      <c r="H497" s="105">
        <f>'Справка 6'!E17</f>
        <v>4667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43830</v>
      </c>
      <c r="D498" s="105" t="s">
        <v>543</v>
      </c>
      <c r="E498" s="493">
        <v>2</v>
      </c>
      <c r="F498" s="105" t="s">
        <v>542</v>
      </c>
      <c r="H498" s="105">
        <f>'Справка 6'!E18</f>
        <v>128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43830</v>
      </c>
      <c r="D499" s="105" t="s">
        <v>545</v>
      </c>
      <c r="E499" s="493">
        <v>2</v>
      </c>
      <c r="F499" s="105" t="s">
        <v>828</v>
      </c>
      <c r="H499" s="105">
        <f>'Справка 6'!E19</f>
        <v>14248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43830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43830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43830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43830</v>
      </c>
      <c r="D503" s="105" t="s">
        <v>555</v>
      </c>
      <c r="E503" s="493">
        <v>2</v>
      </c>
      <c r="F503" s="105" t="s">
        <v>554</v>
      </c>
      <c r="H503" s="105">
        <f>'Справка 6'!E24</f>
        <v>429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43830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43830</v>
      </c>
      <c r="D505" s="105" t="s">
        <v>558</v>
      </c>
      <c r="E505" s="493">
        <v>2</v>
      </c>
      <c r="F505" s="105" t="s">
        <v>542</v>
      </c>
      <c r="H505" s="105">
        <f>'Справка 6'!E26</f>
        <v>77345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43830</v>
      </c>
      <c r="D506" s="105" t="s">
        <v>560</v>
      </c>
      <c r="E506" s="493">
        <v>2</v>
      </c>
      <c r="F506" s="105" t="s">
        <v>863</v>
      </c>
      <c r="H506" s="105">
        <f>'Справка 6'!E27</f>
        <v>77774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43830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43830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43830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43830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43830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43830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43830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43830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43830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43830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43830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43830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43830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43830</v>
      </c>
      <c r="D520" s="105" t="s">
        <v>583</v>
      </c>
      <c r="E520" s="493">
        <v>2</v>
      </c>
      <c r="F520" s="105" t="s">
        <v>582</v>
      </c>
      <c r="H520" s="105">
        <f>'Справка 6'!E42</f>
        <v>92022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43830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43830</v>
      </c>
      <c r="D522" s="105" t="s">
        <v>526</v>
      </c>
      <c r="E522" s="493">
        <v>3</v>
      </c>
      <c r="F522" s="105" t="s">
        <v>525</v>
      </c>
      <c r="H522" s="105">
        <f>'Справка 6'!F12</f>
        <v>664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43830</v>
      </c>
      <c r="D523" s="105" t="s">
        <v>529</v>
      </c>
      <c r="E523" s="493">
        <v>3</v>
      </c>
      <c r="F523" s="105" t="s">
        <v>528</v>
      </c>
      <c r="H523" s="105">
        <f>'Справка 6'!F13</f>
        <v>313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43830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43830</v>
      </c>
      <c r="D525" s="105" t="s">
        <v>535</v>
      </c>
      <c r="E525" s="493">
        <v>3</v>
      </c>
      <c r="F525" s="105" t="s">
        <v>534</v>
      </c>
      <c r="H525" s="105">
        <f>'Справка 6'!F15</f>
        <v>405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43830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43830</v>
      </c>
      <c r="D527" s="105" t="s">
        <v>540</v>
      </c>
      <c r="E527" s="493">
        <v>3</v>
      </c>
      <c r="F527" s="105" t="s">
        <v>539</v>
      </c>
      <c r="H527" s="105">
        <f>'Справка 6'!F17</f>
        <v>4667.313150000001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43830</v>
      </c>
      <c r="D528" s="105" t="s">
        <v>543</v>
      </c>
      <c r="E528" s="493">
        <v>3</v>
      </c>
      <c r="F528" s="105" t="s">
        <v>542</v>
      </c>
      <c r="H528" s="105">
        <f>'Справка 6'!F18</f>
        <v>-0.31315000000086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43830</v>
      </c>
      <c r="D529" s="105" t="s">
        <v>545</v>
      </c>
      <c r="E529" s="493">
        <v>3</v>
      </c>
      <c r="F529" s="105" t="s">
        <v>828</v>
      </c>
      <c r="H529" s="105">
        <f>'Справка 6'!F19</f>
        <v>6049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43830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43830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43830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43830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43830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43830</v>
      </c>
      <c r="D535" s="105" t="s">
        <v>558</v>
      </c>
      <c r="E535" s="493">
        <v>3</v>
      </c>
      <c r="F535" s="105" t="s">
        <v>542</v>
      </c>
      <c r="H535" s="105">
        <f>'Справка 6'!F26</f>
        <v>36219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43830</v>
      </c>
      <c r="D536" s="105" t="s">
        <v>560</v>
      </c>
      <c r="E536" s="493">
        <v>3</v>
      </c>
      <c r="F536" s="105" t="s">
        <v>863</v>
      </c>
      <c r="H536" s="105">
        <f>'Справка 6'!F27</f>
        <v>36219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43830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43830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43830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43830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43830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43830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43830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43830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43830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43830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43830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43830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43830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43830</v>
      </c>
      <c r="D550" s="105" t="s">
        <v>583</v>
      </c>
      <c r="E550" s="493">
        <v>3</v>
      </c>
      <c r="F550" s="105" t="s">
        <v>582</v>
      </c>
      <c r="H550" s="105">
        <f>'Справка 6'!F42</f>
        <v>42268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43830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43830</v>
      </c>
      <c r="D552" s="105" t="s">
        <v>526</v>
      </c>
      <c r="E552" s="493">
        <v>4</v>
      </c>
      <c r="F552" s="105" t="s">
        <v>525</v>
      </c>
      <c r="H552" s="105">
        <f>'Справка 6'!G12</f>
        <v>3953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43830</v>
      </c>
      <c r="D553" s="105" t="s">
        <v>529</v>
      </c>
      <c r="E553" s="493">
        <v>4</v>
      </c>
      <c r="F553" s="105" t="s">
        <v>528</v>
      </c>
      <c r="H553" s="105">
        <f>'Справка 6'!G13</f>
        <v>38174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43830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43830</v>
      </c>
      <c r="D555" s="105" t="s">
        <v>535</v>
      </c>
      <c r="E555" s="493">
        <v>4</v>
      </c>
      <c r="F555" s="105" t="s">
        <v>534</v>
      </c>
      <c r="H555" s="105">
        <f>'Справка 6'!G15</f>
        <v>19361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43830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43830</v>
      </c>
      <c r="D557" s="105" t="s">
        <v>540</v>
      </c>
      <c r="E557" s="493">
        <v>4</v>
      </c>
      <c r="F557" s="105" t="s">
        <v>539</v>
      </c>
      <c r="H557" s="105">
        <f>'Справка 6'!G17</f>
        <v>-0.31315000000086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43830</v>
      </c>
      <c r="D558" s="105" t="s">
        <v>543</v>
      </c>
      <c r="E558" s="493">
        <v>4</v>
      </c>
      <c r="F558" s="105" t="s">
        <v>542</v>
      </c>
      <c r="H558" s="105">
        <f>'Справка 6'!G18</f>
        <v>2082.313150000001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43830</v>
      </c>
      <c r="D559" s="105" t="s">
        <v>545</v>
      </c>
      <c r="E559" s="493">
        <v>4</v>
      </c>
      <c r="F559" s="105" t="s">
        <v>828</v>
      </c>
      <c r="H559" s="105">
        <f>'Справка 6'!G19</f>
        <v>63755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43830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43830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43830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43830</v>
      </c>
      <c r="D563" s="105" t="s">
        <v>555</v>
      </c>
      <c r="E563" s="493">
        <v>4</v>
      </c>
      <c r="F563" s="105" t="s">
        <v>554</v>
      </c>
      <c r="H563" s="105">
        <f>'Справка 6'!G24</f>
        <v>21624.47518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43830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43830</v>
      </c>
      <c r="D565" s="105" t="s">
        <v>558</v>
      </c>
      <c r="E565" s="493">
        <v>4</v>
      </c>
      <c r="F565" s="105" t="s">
        <v>542</v>
      </c>
      <c r="H565" s="105">
        <f>'Справка 6'!G26</f>
        <v>575265.52482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43830</v>
      </c>
      <c r="D566" s="105" t="s">
        <v>560</v>
      </c>
      <c r="E566" s="493">
        <v>4</v>
      </c>
      <c r="F566" s="105" t="s">
        <v>863</v>
      </c>
      <c r="H566" s="105">
        <f>'Справка 6'!G27</f>
        <v>617931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43830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43830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43830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43830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43830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43830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43830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43830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43830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43830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43830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43830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43830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43830</v>
      </c>
      <c r="D580" s="105" t="s">
        <v>583</v>
      </c>
      <c r="E580" s="493">
        <v>4</v>
      </c>
      <c r="F580" s="105" t="s">
        <v>582</v>
      </c>
      <c r="H580" s="105">
        <f>'Справка 6'!G42</f>
        <v>689079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43830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43830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43830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43830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43830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43830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43830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43830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43830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43830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43830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43830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43830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43830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43830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43830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43830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43830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43830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43830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43830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43830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43830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43830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43830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43830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43830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43830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43830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43830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43830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43830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43830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43830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43830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43830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43830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43830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43830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43830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43830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43830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43830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43830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43830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43830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43830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43830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43830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43830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43830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43830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43830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43830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43830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43830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43830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43830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43830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43830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43830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43830</v>
      </c>
      <c r="D642" s="105" t="s">
        <v>526</v>
      </c>
      <c r="E642" s="493">
        <v>7</v>
      </c>
      <c r="F642" s="105" t="s">
        <v>525</v>
      </c>
      <c r="H642" s="105">
        <f>'Справка 6'!J12</f>
        <v>3953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43830</v>
      </c>
      <c r="D643" s="105" t="s">
        <v>529</v>
      </c>
      <c r="E643" s="493">
        <v>7</v>
      </c>
      <c r="F643" s="105" t="s">
        <v>528</v>
      </c>
      <c r="H643" s="105">
        <f>'Справка 6'!J13</f>
        <v>38174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43830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43830</v>
      </c>
      <c r="D645" s="105" t="s">
        <v>535</v>
      </c>
      <c r="E645" s="493">
        <v>7</v>
      </c>
      <c r="F645" s="105" t="s">
        <v>534</v>
      </c>
      <c r="H645" s="105">
        <f>'Справка 6'!J15</f>
        <v>19361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43830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43830</v>
      </c>
      <c r="D647" s="105" t="s">
        <v>540</v>
      </c>
      <c r="E647" s="493">
        <v>7</v>
      </c>
      <c r="F647" s="105" t="s">
        <v>539</v>
      </c>
      <c r="H647" s="105">
        <f>'Справка 6'!J17</f>
        <v>-0.31315000000086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43830</v>
      </c>
      <c r="D648" s="105" t="s">
        <v>543</v>
      </c>
      <c r="E648" s="493">
        <v>7</v>
      </c>
      <c r="F648" s="105" t="s">
        <v>542</v>
      </c>
      <c r="H648" s="105">
        <f>'Справка 6'!J18</f>
        <v>2082.313150000001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43830</v>
      </c>
      <c r="D649" s="105" t="s">
        <v>545</v>
      </c>
      <c r="E649" s="493">
        <v>7</v>
      </c>
      <c r="F649" s="105" t="s">
        <v>828</v>
      </c>
      <c r="H649" s="105">
        <f>'Справка 6'!J19</f>
        <v>63755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43830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43830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43830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43830</v>
      </c>
      <c r="D653" s="105" t="s">
        <v>555</v>
      </c>
      <c r="E653" s="493">
        <v>7</v>
      </c>
      <c r="F653" s="105" t="s">
        <v>554</v>
      </c>
      <c r="H653" s="105">
        <f>'Справка 6'!J24</f>
        <v>21624.47518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43830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43830</v>
      </c>
      <c r="D655" s="105" t="s">
        <v>558</v>
      </c>
      <c r="E655" s="493">
        <v>7</v>
      </c>
      <c r="F655" s="105" t="s">
        <v>542</v>
      </c>
      <c r="H655" s="105">
        <f>'Справка 6'!J26</f>
        <v>575265.52482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43830</v>
      </c>
      <c r="D656" s="105" t="s">
        <v>560</v>
      </c>
      <c r="E656" s="493">
        <v>7</v>
      </c>
      <c r="F656" s="105" t="s">
        <v>863</v>
      </c>
      <c r="H656" s="105">
        <f>'Справка 6'!J27</f>
        <v>617931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43830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43830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43830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43830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43830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43830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43830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43830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43830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43830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43830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43830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43830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43830</v>
      </c>
      <c r="D670" s="105" t="s">
        <v>583</v>
      </c>
      <c r="E670" s="493">
        <v>7</v>
      </c>
      <c r="F670" s="105" t="s">
        <v>582</v>
      </c>
      <c r="H670" s="105">
        <f>'Справка 6'!J42</f>
        <v>689079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43830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43830</v>
      </c>
      <c r="D672" s="105" t="s">
        <v>526</v>
      </c>
      <c r="E672" s="493">
        <v>8</v>
      </c>
      <c r="F672" s="105" t="s">
        <v>525</v>
      </c>
      <c r="H672" s="105">
        <f>'Справка 6'!K12</f>
        <v>2834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43830</v>
      </c>
      <c r="D673" s="105" t="s">
        <v>529</v>
      </c>
      <c r="E673" s="493">
        <v>8</v>
      </c>
      <c r="F673" s="105" t="s">
        <v>528</v>
      </c>
      <c r="H673" s="105">
        <f>'Справка 6'!K13</f>
        <v>24320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43830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43830</v>
      </c>
      <c r="D675" s="105" t="s">
        <v>535</v>
      </c>
      <c r="E675" s="493">
        <v>8</v>
      </c>
      <c r="F675" s="105" t="s">
        <v>534</v>
      </c>
      <c r="H675" s="105">
        <f>'Справка 6'!K15</f>
        <v>10149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43830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43830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43830</v>
      </c>
      <c r="D678" s="105" t="s">
        <v>543</v>
      </c>
      <c r="E678" s="493">
        <v>8</v>
      </c>
      <c r="F678" s="105" t="s">
        <v>542</v>
      </c>
      <c r="H678" s="105">
        <f>'Справка 6'!K18</f>
        <v>1175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43830</v>
      </c>
      <c r="D679" s="105" t="s">
        <v>545</v>
      </c>
      <c r="E679" s="493">
        <v>8</v>
      </c>
      <c r="F679" s="105" t="s">
        <v>828</v>
      </c>
      <c r="H679" s="105">
        <f>'Справка 6'!K19</f>
        <v>38478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43830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43830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43830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43830</v>
      </c>
      <c r="D683" s="105" t="s">
        <v>555</v>
      </c>
      <c r="E683" s="493">
        <v>8</v>
      </c>
      <c r="F683" s="105" t="s">
        <v>554</v>
      </c>
      <c r="H683" s="105">
        <f>'Справка 6'!K24</f>
        <v>16667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43830</v>
      </c>
      <c r="D684" s="105" t="s">
        <v>557</v>
      </c>
      <c r="E684" s="493">
        <v>8</v>
      </c>
      <c r="F684" s="105" t="s">
        <v>556</v>
      </c>
      <c r="H684" s="105">
        <f>'Справка 6'!K25</f>
        <v>21037.49128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43830</v>
      </c>
      <c r="D685" s="105" t="s">
        <v>558</v>
      </c>
      <c r="E685" s="493">
        <v>8</v>
      </c>
      <c r="F685" s="105" t="s">
        <v>542</v>
      </c>
      <c r="H685" s="105">
        <f>'Справка 6'!K26</f>
        <v>255156.50871999998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43830</v>
      </c>
      <c r="D686" s="105" t="s">
        <v>560</v>
      </c>
      <c r="E686" s="493">
        <v>8</v>
      </c>
      <c r="F686" s="105" t="s">
        <v>863</v>
      </c>
      <c r="H686" s="105">
        <f>'Справка 6'!K27</f>
        <v>292861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43830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43830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43830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43830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43830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43830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43830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43830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43830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43830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43830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43830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43830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43830</v>
      </c>
      <c r="D700" s="105" t="s">
        <v>583</v>
      </c>
      <c r="E700" s="493">
        <v>8</v>
      </c>
      <c r="F700" s="105" t="s">
        <v>582</v>
      </c>
      <c r="H700" s="105">
        <f>'Справка 6'!K42</f>
        <v>338732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43830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43830</v>
      </c>
      <c r="D702" s="105" t="s">
        <v>526</v>
      </c>
      <c r="E702" s="493">
        <v>9</v>
      </c>
      <c r="F702" s="105" t="s">
        <v>525</v>
      </c>
      <c r="H702" s="105">
        <f>'Справка 6'!L12</f>
        <v>1097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43830</v>
      </c>
      <c r="D703" s="105" t="s">
        <v>529</v>
      </c>
      <c r="E703" s="493">
        <v>9</v>
      </c>
      <c r="F703" s="105" t="s">
        <v>528</v>
      </c>
      <c r="H703" s="105">
        <f>'Справка 6'!L13</f>
        <v>3358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43830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43830</v>
      </c>
      <c r="D705" s="105" t="s">
        <v>535</v>
      </c>
      <c r="E705" s="493">
        <v>9</v>
      </c>
      <c r="F705" s="105" t="s">
        <v>534</v>
      </c>
      <c r="H705" s="105">
        <f>'Справка 6'!L15</f>
        <v>1632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43830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43830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43830</v>
      </c>
      <c r="D708" s="105" t="s">
        <v>543</v>
      </c>
      <c r="E708" s="493">
        <v>9</v>
      </c>
      <c r="F708" s="105" t="s">
        <v>542</v>
      </c>
      <c r="H708" s="105">
        <f>'Справка 6'!L18</f>
        <v>95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43830</v>
      </c>
      <c r="D709" s="105" t="s">
        <v>545</v>
      </c>
      <c r="E709" s="493">
        <v>9</v>
      </c>
      <c r="F709" s="105" t="s">
        <v>828</v>
      </c>
      <c r="H709" s="105">
        <f>'Справка 6'!L19</f>
        <v>6182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43830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43830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43830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43830</v>
      </c>
      <c r="D713" s="105" t="s">
        <v>555</v>
      </c>
      <c r="E713" s="493">
        <v>9</v>
      </c>
      <c r="F713" s="105" t="s">
        <v>554</v>
      </c>
      <c r="H713" s="105">
        <f>'Справка 6'!L24</f>
        <v>760.71577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43830</v>
      </c>
      <c r="D714" s="105" t="s">
        <v>557</v>
      </c>
      <c r="E714" s="493">
        <v>9</v>
      </c>
      <c r="F714" s="105" t="s">
        <v>556</v>
      </c>
      <c r="H714" s="105">
        <f>'Справка 6'!L25</f>
        <v>0.49128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43830</v>
      </c>
      <c r="D715" s="105" t="s">
        <v>558</v>
      </c>
      <c r="E715" s="493">
        <v>9</v>
      </c>
      <c r="F715" s="105" t="s">
        <v>542</v>
      </c>
      <c r="H715" s="105">
        <f>'Справка 6'!L26</f>
        <v>43093.28423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43830</v>
      </c>
      <c r="D716" s="105" t="s">
        <v>560</v>
      </c>
      <c r="E716" s="493">
        <v>9</v>
      </c>
      <c r="F716" s="105" t="s">
        <v>863</v>
      </c>
      <c r="H716" s="105">
        <f>'Справка 6'!L27</f>
        <v>43854.491279999995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43830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43830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43830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43830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43830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43830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43830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43830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43830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43830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43830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43830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43830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43830</v>
      </c>
      <c r="D730" s="105" t="s">
        <v>583</v>
      </c>
      <c r="E730" s="493">
        <v>9</v>
      </c>
      <c r="F730" s="105" t="s">
        <v>582</v>
      </c>
      <c r="H730" s="105">
        <f>'Справка 6'!L42</f>
        <v>50036.491279999995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43830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43830</v>
      </c>
      <c r="D732" s="105" t="s">
        <v>526</v>
      </c>
      <c r="E732" s="493">
        <v>10</v>
      </c>
      <c r="F732" s="105" t="s">
        <v>525</v>
      </c>
      <c r="H732" s="105">
        <f>'Справка 6'!M12</f>
        <v>633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43830</v>
      </c>
      <c r="D733" s="105" t="s">
        <v>529</v>
      </c>
      <c r="E733" s="493">
        <v>10</v>
      </c>
      <c r="F733" s="105" t="s">
        <v>528</v>
      </c>
      <c r="H733" s="105">
        <f>'Справка 6'!M13</f>
        <v>291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43830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43830</v>
      </c>
      <c r="D735" s="105" t="s">
        <v>535</v>
      </c>
      <c r="E735" s="493">
        <v>10</v>
      </c>
      <c r="F735" s="105" t="s">
        <v>534</v>
      </c>
      <c r="H735" s="105">
        <f>'Справка 6'!M15</f>
        <v>405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43830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43830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43830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43830</v>
      </c>
      <c r="D739" s="105" t="s">
        <v>545</v>
      </c>
      <c r="E739" s="493">
        <v>10</v>
      </c>
      <c r="F739" s="105" t="s">
        <v>828</v>
      </c>
      <c r="H739" s="105">
        <f>'Справка 6'!M19</f>
        <v>1329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43830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43830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43830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43830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43830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43830</v>
      </c>
      <c r="D745" s="105" t="s">
        <v>558</v>
      </c>
      <c r="E745" s="493">
        <v>10</v>
      </c>
      <c r="F745" s="105" t="s">
        <v>542</v>
      </c>
      <c r="H745" s="105">
        <f>'Справка 6'!M26</f>
        <v>1.06697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43830</v>
      </c>
      <c r="D746" s="105" t="s">
        <v>560</v>
      </c>
      <c r="E746" s="493">
        <v>10</v>
      </c>
      <c r="F746" s="105" t="s">
        <v>863</v>
      </c>
      <c r="H746" s="105">
        <f>'Справка 6'!M27</f>
        <v>1.06697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43830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43830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43830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43830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43830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43830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43830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43830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43830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43830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43830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43830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43830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43830</v>
      </c>
      <c r="D760" s="105" t="s">
        <v>583</v>
      </c>
      <c r="E760" s="493">
        <v>10</v>
      </c>
      <c r="F760" s="105" t="s">
        <v>582</v>
      </c>
      <c r="H760" s="105">
        <f>'Справка 6'!M42</f>
        <v>1330.06697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43830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43830</v>
      </c>
      <c r="D762" s="105" t="s">
        <v>526</v>
      </c>
      <c r="E762" s="493">
        <v>11</v>
      </c>
      <c r="F762" s="105" t="s">
        <v>525</v>
      </c>
      <c r="H762" s="105">
        <f>'Справка 6'!N12</f>
        <v>3298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43830</v>
      </c>
      <c r="D763" s="105" t="s">
        <v>529</v>
      </c>
      <c r="E763" s="493">
        <v>11</v>
      </c>
      <c r="F763" s="105" t="s">
        <v>528</v>
      </c>
      <c r="H763" s="105">
        <f>'Справка 6'!N13</f>
        <v>27387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43830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43830</v>
      </c>
      <c r="D765" s="105" t="s">
        <v>535</v>
      </c>
      <c r="E765" s="493">
        <v>11</v>
      </c>
      <c r="F765" s="105" t="s">
        <v>534</v>
      </c>
      <c r="H765" s="105">
        <f>'Справка 6'!N15</f>
        <v>11376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43830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43830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43830</v>
      </c>
      <c r="D768" s="105" t="s">
        <v>543</v>
      </c>
      <c r="E768" s="493">
        <v>11</v>
      </c>
      <c r="F768" s="105" t="s">
        <v>542</v>
      </c>
      <c r="H768" s="105">
        <f>'Справка 6'!N18</f>
        <v>1270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43830</v>
      </c>
      <c r="D769" s="105" t="s">
        <v>545</v>
      </c>
      <c r="E769" s="493">
        <v>11</v>
      </c>
      <c r="F769" s="105" t="s">
        <v>828</v>
      </c>
      <c r="H769" s="105">
        <f>'Справка 6'!N19</f>
        <v>43331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43830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43830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43830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43830</v>
      </c>
      <c r="D773" s="105" t="s">
        <v>555</v>
      </c>
      <c r="E773" s="493">
        <v>11</v>
      </c>
      <c r="F773" s="105" t="s">
        <v>554</v>
      </c>
      <c r="H773" s="105">
        <f>'Справка 6'!N24</f>
        <v>17427.71577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43830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21037.982559999997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43830</v>
      </c>
      <c r="D775" s="105" t="s">
        <v>558</v>
      </c>
      <c r="E775" s="493">
        <v>11</v>
      </c>
      <c r="F775" s="105" t="s">
        <v>542</v>
      </c>
      <c r="H775" s="105">
        <f>'Справка 6'!N26</f>
        <v>298248.72598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43830</v>
      </c>
      <c r="D776" s="105" t="s">
        <v>560</v>
      </c>
      <c r="E776" s="493">
        <v>11</v>
      </c>
      <c r="F776" s="105" t="s">
        <v>863</v>
      </c>
      <c r="H776" s="105">
        <f>'Справка 6'!N27</f>
        <v>336714.42431000003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43830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43830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43830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43830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43830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43830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43830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43830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43830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43830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43830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43830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43830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43830</v>
      </c>
      <c r="D790" s="105" t="s">
        <v>583</v>
      </c>
      <c r="E790" s="493">
        <v>11</v>
      </c>
      <c r="F790" s="105" t="s">
        <v>582</v>
      </c>
      <c r="H790" s="105">
        <f>'Справка 6'!N42</f>
        <v>387438.42431000003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43830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43830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43830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43830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43830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43830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43830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43830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43830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43830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43830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43830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43830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43830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43830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43830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43830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43830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43830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43830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43830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43830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43830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43830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43830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43830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43830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43830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43830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43830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43830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43830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43830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43830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43830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43830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43830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43830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43830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43830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43830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43830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43830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43830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43830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43830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43830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43830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43830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43830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43830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43830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43830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43830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43830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43830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43830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43830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43830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43830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43830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43830</v>
      </c>
      <c r="D852" s="105" t="s">
        <v>526</v>
      </c>
      <c r="E852" s="493">
        <v>14</v>
      </c>
      <c r="F852" s="105" t="s">
        <v>525</v>
      </c>
      <c r="H852" s="105">
        <f>'Справка 6'!Q12</f>
        <v>3298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43830</v>
      </c>
      <c r="D853" s="105" t="s">
        <v>529</v>
      </c>
      <c r="E853" s="493">
        <v>14</v>
      </c>
      <c r="F853" s="105" t="s">
        <v>528</v>
      </c>
      <c r="H853" s="105">
        <f>'Справка 6'!Q13</f>
        <v>27387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43830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43830</v>
      </c>
      <c r="D855" s="105" t="s">
        <v>535</v>
      </c>
      <c r="E855" s="493">
        <v>14</v>
      </c>
      <c r="F855" s="105" t="s">
        <v>534</v>
      </c>
      <c r="H855" s="105">
        <f>'Справка 6'!Q15</f>
        <v>11376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43830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43830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43830</v>
      </c>
      <c r="D858" s="105" t="s">
        <v>543</v>
      </c>
      <c r="E858" s="493">
        <v>14</v>
      </c>
      <c r="F858" s="105" t="s">
        <v>542</v>
      </c>
      <c r="H858" s="105">
        <f>'Справка 6'!Q18</f>
        <v>1270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43830</v>
      </c>
      <c r="D859" s="105" t="s">
        <v>545</v>
      </c>
      <c r="E859" s="493">
        <v>14</v>
      </c>
      <c r="F859" s="105" t="s">
        <v>828</v>
      </c>
      <c r="H859" s="105">
        <f>'Справка 6'!Q19</f>
        <v>43331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43830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43830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43830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43830</v>
      </c>
      <c r="D863" s="105" t="s">
        <v>555</v>
      </c>
      <c r="E863" s="493">
        <v>14</v>
      </c>
      <c r="F863" s="105" t="s">
        <v>554</v>
      </c>
      <c r="H863" s="105">
        <f>'Справка 6'!Q24</f>
        <v>17427.71577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43830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21037.982559999997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43830</v>
      </c>
      <c r="D865" s="105" t="s">
        <v>558</v>
      </c>
      <c r="E865" s="493">
        <v>14</v>
      </c>
      <c r="F865" s="105" t="s">
        <v>542</v>
      </c>
      <c r="H865" s="105">
        <f>'Справка 6'!Q26</f>
        <v>298248.72598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43830</v>
      </c>
      <c r="D866" s="105" t="s">
        <v>560</v>
      </c>
      <c r="E866" s="493">
        <v>14</v>
      </c>
      <c r="F866" s="105" t="s">
        <v>863</v>
      </c>
      <c r="H866" s="105">
        <f>'Справка 6'!Q27</f>
        <v>336714.42431000003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43830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43830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43830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43830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43830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43830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43830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43830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43830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43830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43830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43830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43830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43830</v>
      </c>
      <c r="D880" s="105" t="s">
        <v>583</v>
      </c>
      <c r="E880" s="493">
        <v>14</v>
      </c>
      <c r="F880" s="105" t="s">
        <v>582</v>
      </c>
      <c r="H880" s="105">
        <f>'Справка 6'!Q42</f>
        <v>387438.42431000003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43830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43830</v>
      </c>
      <c r="D882" s="105" t="s">
        <v>526</v>
      </c>
      <c r="E882" s="493">
        <v>15</v>
      </c>
      <c r="F882" s="105" t="s">
        <v>525</v>
      </c>
      <c r="H882" s="105">
        <f>'Справка 6'!R12</f>
        <v>655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43830</v>
      </c>
      <c r="D883" s="105" t="s">
        <v>529</v>
      </c>
      <c r="E883" s="493">
        <v>15</v>
      </c>
      <c r="F883" s="105" t="s">
        <v>528</v>
      </c>
      <c r="H883" s="105">
        <f>'Справка 6'!R13</f>
        <v>10787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43830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43830</v>
      </c>
      <c r="D885" s="105" t="s">
        <v>535</v>
      </c>
      <c r="E885" s="493">
        <v>15</v>
      </c>
      <c r="F885" s="105" t="s">
        <v>534</v>
      </c>
      <c r="H885" s="105">
        <f>'Справка 6'!R15</f>
        <v>7985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43830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43830</v>
      </c>
      <c r="D887" s="105" t="s">
        <v>540</v>
      </c>
      <c r="E887" s="493">
        <v>15</v>
      </c>
      <c r="F887" s="105" t="s">
        <v>539</v>
      </c>
      <c r="H887" s="105">
        <f>'Справка 6'!R17</f>
        <v>-0.31315000000086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43830</v>
      </c>
      <c r="D888" s="105" t="s">
        <v>543</v>
      </c>
      <c r="E888" s="493">
        <v>15</v>
      </c>
      <c r="F888" s="105" t="s">
        <v>542</v>
      </c>
      <c r="H888" s="105">
        <f>'Справка 6'!R18</f>
        <v>812.3131500000009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43830</v>
      </c>
      <c r="D889" s="105" t="s">
        <v>545</v>
      </c>
      <c r="E889" s="493">
        <v>15</v>
      </c>
      <c r="F889" s="105" t="s">
        <v>828</v>
      </c>
      <c r="H889" s="105">
        <f>'Справка 6'!R19</f>
        <v>20424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43830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43830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43830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43830</v>
      </c>
      <c r="D893" s="105" t="s">
        <v>555</v>
      </c>
      <c r="E893" s="493">
        <v>15</v>
      </c>
      <c r="F893" s="105" t="s">
        <v>554</v>
      </c>
      <c r="H893" s="105">
        <f>'Справка 6'!R24</f>
        <v>4196.759410000002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43830</v>
      </c>
      <c r="D894" s="105" t="s">
        <v>557</v>
      </c>
      <c r="E894" s="493">
        <v>15</v>
      </c>
      <c r="F894" s="105" t="s">
        <v>556</v>
      </c>
      <c r="H894" s="105">
        <f>'Справка 6'!R25</f>
        <v>3.017440000003262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43830</v>
      </c>
      <c r="D895" s="105" t="s">
        <v>558</v>
      </c>
      <c r="E895" s="493">
        <v>15</v>
      </c>
      <c r="F895" s="105" t="s">
        <v>542</v>
      </c>
      <c r="H895" s="105">
        <f>'Справка 6'!R26</f>
        <v>277016.79884000006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43830</v>
      </c>
      <c r="D896" s="105" t="s">
        <v>560</v>
      </c>
      <c r="E896" s="493">
        <v>15</v>
      </c>
      <c r="F896" s="105" t="s">
        <v>863</v>
      </c>
      <c r="H896" s="105">
        <f>'Справка 6'!R27</f>
        <v>281216.5756900001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43830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43830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43830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43830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43830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43830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43830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43830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43830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43830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43830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43830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43830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43830</v>
      </c>
      <c r="D910" s="105" t="s">
        <v>583</v>
      </c>
      <c r="E910" s="493">
        <v>15</v>
      </c>
      <c r="F910" s="105" t="s">
        <v>582</v>
      </c>
      <c r="H910" s="105">
        <f>'Справка 6'!R42</f>
        <v>301640.5756900001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43830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43830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43830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43830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43830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43830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43830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174.5939099999999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43830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43830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174.5939099999999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43830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174.5939099999999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43830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8907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43830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85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43830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43830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43830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85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43830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38728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43830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43830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43830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43830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43830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43830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43830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43830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43830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43830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43830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43830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43830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43830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43830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38813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43830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47894.59391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43830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43830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43830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43830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43830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43830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43830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43830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43830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43830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43830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43830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85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43830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43830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43830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85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43830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38728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43830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43830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43830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43830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43830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43830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43830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43830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43830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43830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43830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43830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43830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43830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43830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38813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43830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38813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43830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43830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43830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43830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43830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43830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43830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174.5939099999999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43830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43830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174.5939099999999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43830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174.5939099999999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43830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8907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43830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43830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43830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43830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43830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43830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43830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43830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43830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43830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43830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43830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43830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43830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43830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43830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43830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43830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43830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43830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43830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9081.59391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43830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43830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43830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43830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43830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44579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43830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44579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43830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43830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43830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43830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43830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43830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43830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10096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43830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2093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43830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54675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43830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43830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3653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43830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43830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43830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3653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43830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43830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43830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43830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43830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43830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43830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43830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43830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43830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43830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40740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43830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43830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32130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43830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43830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5530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43830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2129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43830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450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43830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1263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43830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416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43830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951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43830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6185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43830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50578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43830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105253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43830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43830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43830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43830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43830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22215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43830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22215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43830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43830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43830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43830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43830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43830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43830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1324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43830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1324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43830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23539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43830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43830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3653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43830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43830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43830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3653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43830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43830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43830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43830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43830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43830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43830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43830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43830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43830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43830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40740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43830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43830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32130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43830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43830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5530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43830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2129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43830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450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43830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1263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43830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416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43830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951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43830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6185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43830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50578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43830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74117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43830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43830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43830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43830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43830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22364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43830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22364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43830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43830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43830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43830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43830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43830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43830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8772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43830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769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43830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31136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43830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43830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43830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43830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43830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43830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43830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43830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43830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43830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43830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43830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43830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43830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43830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43830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43830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43830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43830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43830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43830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43830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43830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43830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43830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43830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43830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43830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31136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43830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43830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43830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43830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43830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43830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43830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43830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43830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43830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43830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43830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43830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43830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43830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43830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43830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43830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43830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43830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43830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43830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43830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43830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43830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43830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43830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43830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43830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43830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43830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43830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43830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43830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43830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43830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43830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43830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43830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43830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43830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43830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43830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43830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1835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43830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43830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43830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1835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43830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166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43830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43830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1090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43830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1256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43830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518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43830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43830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43830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518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43830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1483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43830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43830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1090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43830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2573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43830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43830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43830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43830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43830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43830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43830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43830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43830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43830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43830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43830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43830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43830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43830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43830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43830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43830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43830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43830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43830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43830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43830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43830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43830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43830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43830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43830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43830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43830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43830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43830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43830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43830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43830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43830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43830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43830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43830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43830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43830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43830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43830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43830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43830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43830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43830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43830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43830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43830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43830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43830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43830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43830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43830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43830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43830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43830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43830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43830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43830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43830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43830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43830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43830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43830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43830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43830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43830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43830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43830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43830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43830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43830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43830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43830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43830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43830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43830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43830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43830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43830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43830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43830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43830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43830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43830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43830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43830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43830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43830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43830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43830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43830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43830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43830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43830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43830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43830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43830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43830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43830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43830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43830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43830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43830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43830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43830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43830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43830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43830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43830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43830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43830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43830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43830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43830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43830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43830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43830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43830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43830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43830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43830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43830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43830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43830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43830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43830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43830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43830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43830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43830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43830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22">
      <selection activeCell="F115" sqref="F11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'[6]1-Баланс'!$C$12</f>
        <v>185</v>
      </c>
      <c r="E12" s="89" t="s">
        <v>25</v>
      </c>
      <c r="F12" s="93" t="s">
        <v>26</v>
      </c>
      <c r="G12" s="197">
        <f>'[7]BS_KPMG'!$W$28</f>
        <v>8884</v>
      </c>
      <c r="H12" s="196">
        <f>'[4]1-Баланс'!G12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655</v>
      </c>
      <c r="D13" s="196">
        <f>'[6]1-Баланс'!C13</f>
        <v>290</v>
      </c>
      <c r="E13" s="89" t="s">
        <v>846</v>
      </c>
      <c r="F13" s="93" t="s">
        <v>29</v>
      </c>
      <c r="G13" s="197">
        <f>G12</f>
        <v>8884</v>
      </c>
      <c r="H13" s="196">
        <f>'[6]1-Баланс'!G13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10787</v>
      </c>
      <c r="D14" s="196">
        <f>'[6]1-Баланс'!C14</f>
        <v>12584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'[6]1-Баланс'!C15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7985</v>
      </c>
      <c r="D16" s="196">
        <f>'[6]1-Баланс'!C16</f>
        <v>6335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'[6]1-Баланс'!C17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-0.31315000000086</v>
      </c>
      <c r="D18" s="196">
        <f>'[6]1-Баланс'!C18</f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812.3131500000009</v>
      </c>
      <c r="D19" s="196">
        <f>'[6]1-Баланс'!C19</f>
        <v>777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20424</v>
      </c>
      <c r="D20" s="595">
        <f>SUM(D12:D19)</f>
        <v>20171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-469</v>
      </c>
      <c r="H21" s="196">
        <f>'[6]1-Баланс'!$G$21</f>
        <v>-348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'[7]BS_KPMG'!$W$29</f>
        <v>10774</v>
      </c>
      <c r="H23" s="196">
        <f>'[6]1-Баланс'!$G$23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'[6]1-Баланс'!C24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4196.759410000002</v>
      </c>
      <c r="D25" s="196">
        <f>'[6]1-Баланс'!C25</f>
        <v>4529.69844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3.017440000003262</v>
      </c>
      <c r="D26" s="196">
        <f>'[6]1-Баланс'!C26</f>
        <v>3.508720000001631</v>
      </c>
      <c r="E26" s="481" t="s">
        <v>77</v>
      </c>
      <c r="F26" s="95" t="s">
        <v>78</v>
      </c>
      <c r="G26" s="594">
        <f>G20+G21+G22</f>
        <v>10305</v>
      </c>
      <c r="H26" s="595">
        <f>H20+H21+H22</f>
        <v>10426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277016.79884000006</v>
      </c>
      <c r="D27" s="196">
        <f>'[8]BS_KPMG'!$X$9-D25-D26</f>
        <v>278981.79284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281216.5756900001</v>
      </c>
      <c r="D28" s="595">
        <f>SUM(D24:D27)</f>
        <v>283515</v>
      </c>
      <c r="E28" s="202" t="s">
        <v>84</v>
      </c>
      <c r="F28" s="93" t="s">
        <v>85</v>
      </c>
      <c r="G28" s="592">
        <f>SUM(G29:G31)</f>
        <v>238393</v>
      </c>
      <c r="H28" s="593">
        <f>SUM(H29:H31)</f>
        <v>208384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H34-56</f>
        <v>238393</v>
      </c>
      <c r="H29" s="196">
        <f>'[8]BS_KPMG'!$X$31-H32-H21</f>
        <v>208384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36475.41344999999</v>
      </c>
      <c r="H32" s="196">
        <f>'[8]PL_KPMG'!$AL$27</f>
        <v>30065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274868.41345</v>
      </c>
      <c r="H34" s="595">
        <f>H28+H32+H33</f>
        <v>238449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'[8]BS_KPMG'!$W$11</f>
        <v>5</v>
      </c>
      <c r="D36" s="196">
        <f>'[8]BS_KPMG'!$X$11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294057.41345</v>
      </c>
      <c r="H37" s="597">
        <f>H26+H18+H34</f>
        <v>257759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'[8]BS_KPMG'!$W$36+'[8]BS_KPMG'!$W$37</f>
        <v>23133</v>
      </c>
      <c r="H45" s="196">
        <f>'[6]1-Баланс'!G45</f>
        <v>49835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SUM('[8]BS_KPMG'!$W$38:$W$40)</f>
        <v>8003</v>
      </c>
      <c r="H49" s="196">
        <f>'[6]1-Баланс'!G49-5108</f>
        <v>8831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31136</v>
      </c>
      <c r="H50" s="593">
        <f>SUM(H44:H49)</f>
        <v>58666</v>
      </c>
    </row>
    <row r="51" spans="1:8" ht="15.75">
      <c r="A51" s="89" t="s">
        <v>79</v>
      </c>
      <c r="B51" s="91" t="s">
        <v>155</v>
      </c>
      <c r="C51" s="197">
        <f>'[8]IAS'!$AO$19/1000</f>
        <v>174.5939099999999</v>
      </c>
      <c r="D51" s="196">
        <f>'[6]1-Баланс'!$C$51</f>
        <v>250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174.5939099999999</v>
      </c>
      <c r="D52" s="595">
        <f>SUM(D48:D51)</f>
        <v>250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'[8]BS_KPMG'!$W$12</f>
        <v>8907</v>
      </c>
      <c r="D55" s="476">
        <f>'[8]BS_KPMG'!$X$12</f>
        <v>7950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310727.1696000001</v>
      </c>
      <c r="D56" s="599">
        <f>D20+D21+D22+D28+D33+D46+D52+D54+D55</f>
        <v>311891</v>
      </c>
      <c r="E56" s="100" t="s">
        <v>850</v>
      </c>
      <c r="F56" s="99" t="s">
        <v>172</v>
      </c>
      <c r="G56" s="596">
        <f>G50+G52+G53+G54+G55</f>
        <v>31136</v>
      </c>
      <c r="H56" s="597">
        <f>H50+H52+H53+H54+H55</f>
        <v>58666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'[8]BS_KPMG'!$W$17</f>
        <v>2344</v>
      </c>
      <c r="D59" s="196">
        <f>'[8]BS_KPMG'!$X$17</f>
        <v>2189</v>
      </c>
      <c r="E59" s="201" t="s">
        <v>180</v>
      </c>
      <c r="F59" s="483" t="s">
        <v>181</v>
      </c>
      <c r="G59" s="197">
        <f>ROUND('[8]BS_KPMG'!$W$44+'[8]BS_KPMG'!$W$45,0)</f>
        <v>23539</v>
      </c>
      <c r="H59" s="196">
        <f>'[6]1-Баланс'!$G$59</f>
        <v>25646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44393</v>
      </c>
      <c r="H61" s="593">
        <f>SUM(H62:H68)</f>
        <v>34871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ROUND('[8]BS_KPMG'!$W$49,0)</f>
        <v>3653</v>
      </c>
      <c r="H62" s="196">
        <f>'[6]1-Баланс'!G62</f>
        <v>3818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'[6]1-Баланс'!G63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ROUND('[8]NoteBS'!$E$54+'[8]NoteBS'!$E$55+'[8]NoteBS'!$E$57+'[8]NoteBS'!$E$67+'[8]BS_KPMG'!$W$47,0)</f>
        <v>32130</v>
      </c>
      <c r="H64" s="196">
        <f>'[6]1-Баланс'!G64</f>
        <v>23903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2344</v>
      </c>
      <c r="D65" s="595">
        <f>SUM(D59:D64)</f>
        <v>2189</v>
      </c>
      <c r="E65" s="89" t="s">
        <v>201</v>
      </c>
      <c r="F65" s="93" t="s">
        <v>202</v>
      </c>
      <c r="G65" s="197"/>
      <c r="H65" s="196">
        <f>'[6]1-Баланс'!G65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5530</v>
      </c>
      <c r="H66" s="196">
        <f>'[6]1-Баланс'!G66</f>
        <v>4866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951</v>
      </c>
      <c r="H67" s="196">
        <f>'[6]1-Баланс'!G67</f>
        <v>902</v>
      </c>
    </row>
    <row r="68" spans="1:8" ht="15.75">
      <c r="A68" s="89" t="s">
        <v>206</v>
      </c>
      <c r="B68" s="91" t="s">
        <v>207</v>
      </c>
      <c r="C68" s="197">
        <f>'[8]BS_KPMG'!$W$21</f>
        <v>85</v>
      </c>
      <c r="D68" s="196">
        <f>'[8]BS_KPMG'!$X$21</f>
        <v>25</v>
      </c>
      <c r="E68" s="89" t="s">
        <v>212</v>
      </c>
      <c r="F68" s="93" t="s">
        <v>213</v>
      </c>
      <c r="G68" s="197">
        <f>ROUND('[8]BS_KPMG'!$W$48+'[8]NoteBS'!$E$65+'[8]NoteBS'!$E$66,0)</f>
        <v>2129</v>
      </c>
      <c r="H68" s="196">
        <f>'[6]1-Баланс'!G68</f>
        <v>1382</v>
      </c>
    </row>
    <row r="69" spans="1:8" ht="15.75">
      <c r="A69" s="89" t="s">
        <v>210</v>
      </c>
      <c r="B69" s="91" t="s">
        <v>211</v>
      </c>
      <c r="C69" s="197">
        <f>'[8]BS_KPMG'!$W$19+'[8]BS_KPMG'!$W$20</f>
        <v>38728</v>
      </c>
      <c r="D69" s="196">
        <f>'[8]BS_KPMG'!$X$19+'[8]BS_KPMG'!$X$20</f>
        <v>35339</v>
      </c>
      <c r="E69" s="201" t="s">
        <v>79</v>
      </c>
      <c r="F69" s="93" t="s">
        <v>216</v>
      </c>
      <c r="G69" s="197">
        <f>ROUND('[8]NoteBS'!$G$63+'[8]NoteBS'!$E$64+'[8]BS_KPMG'!$W$46+'[8]BS_KPMG'!$W$52+'[8]NoteBS'!$G$59,0)</f>
        <v>6185</v>
      </c>
      <c r="H69" s="196">
        <f>'[6]1-Баланс'!G69-374</f>
        <v>6481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ROUND('[8]BS_KPMG'!$W$51,0)</f>
        <v>2573</v>
      </c>
      <c r="H70" s="196">
        <f>'[6]1-Баланс'!G70</f>
        <v>1835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76690</v>
      </c>
      <c r="H71" s="595">
        <f>H59+H60+H61+H69+H70</f>
        <v>68833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'[7]BS_KPMG'!$W$19</f>
        <v>0</v>
      </c>
      <c r="D73" s="196">
        <f>'[6]1-Баланс'!C73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38813</v>
      </c>
      <c r="D76" s="595">
        <f>SUM(D68:D75)</f>
        <v>35364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76690</v>
      </c>
      <c r="H79" s="597">
        <f>H71+H73+H75+H77</f>
        <v>68833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'[8]NoteBS'!$E$40</f>
        <v>46</v>
      </c>
      <c r="D88" s="196">
        <f>'[6]1-Баланс'!C88</f>
        <v>84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'[8]NoteBS'!$E$43+'[8]IAS'!$G$19/1000</f>
        <v>49952.93025</v>
      </c>
      <c r="D89" s="196">
        <f>'[6]1-Баланс'!C89</f>
        <v>35730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'[6]1-Баланс'!C90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'[6]1-Баланс'!C91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49998.93025</v>
      </c>
      <c r="D92" s="595">
        <f>SUM(D88:D91)</f>
        <v>35814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91155.93025</v>
      </c>
      <c r="D94" s="599">
        <f>D65+D76+D85+D92+D93</f>
        <v>73367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401883.0998500001</v>
      </c>
      <c r="D95" s="601">
        <f>D94+D56</f>
        <v>385258</v>
      </c>
      <c r="E95" s="229" t="s">
        <v>942</v>
      </c>
      <c r="F95" s="486" t="s">
        <v>268</v>
      </c>
      <c r="G95" s="600">
        <f>G37+G40+G56+G79</f>
        <v>401883.41345</v>
      </c>
      <c r="H95" s="601">
        <f>H37+H40+H56+H79</f>
        <v>385258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44029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D95-'[8]BS_KPMG'!$X$25</f>
        <v>0</v>
      </c>
      <c r="C106" s="709"/>
      <c r="D106" s="709"/>
      <c r="E106" s="709"/>
    </row>
    <row r="107" spans="1:13" ht="21.75" customHeight="1">
      <c r="A107" s="707">
        <f>D95-H95</f>
        <v>0</v>
      </c>
      <c r="B107" s="708">
        <f>'[8]BS_KPMG'!$W$25-C95</f>
        <v>-0.09985000011511147</v>
      </c>
      <c r="C107" s="709"/>
      <c r="D107" s="709"/>
      <c r="E107" s="709"/>
      <c r="M107" s="98"/>
    </row>
    <row r="108" spans="1:5" ht="21.75" customHeight="1">
      <c r="A108" s="693"/>
      <c r="B108" s="708">
        <f>G95-'[8]BS_KPMG'!$W$57</f>
        <v>0.4134499999927357</v>
      </c>
      <c r="C108" s="709"/>
      <c r="D108" s="709"/>
      <c r="E108" s="709"/>
    </row>
    <row r="109" spans="1:13" ht="21.75" customHeight="1">
      <c r="A109" s="693"/>
      <c r="B109" s="708"/>
      <c r="C109" s="709"/>
      <c r="D109" s="709"/>
      <c r="E109" s="70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G26" sqref="G26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-'[8]PL_KPMG'!AK10</f>
        <v>12592</v>
      </c>
      <c r="D12" s="316">
        <f>-'[8]PL_KPMG'!AL10</f>
        <v>11997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-'[8]PL_KPMG'!AK11</f>
        <v>50528</v>
      </c>
      <c r="D13" s="316">
        <f>-'[8]PL_KPMG'!AL11</f>
        <v>50112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-'[8]PL_KPMG'!AK12</f>
        <v>50036</v>
      </c>
      <c r="D14" s="316">
        <f>-'[8]PL_KPMG'!AL12</f>
        <v>42644</v>
      </c>
      <c r="E14" s="245" t="s">
        <v>285</v>
      </c>
      <c r="F14" s="240" t="s">
        <v>286</v>
      </c>
      <c r="G14" s="316">
        <f>'[8]PL_KPMG'!$AK$5+'[8]PL_KPMG'!$AK$6</f>
        <v>175672</v>
      </c>
      <c r="H14" s="316">
        <f>'[8]PL_KPMG'!$AL$5+'[8]PL_KPMG'!$AL$6</f>
        <v>159670</v>
      </c>
    </row>
    <row r="15" spans="1:8" ht="15.75">
      <c r="A15" s="194" t="s">
        <v>287</v>
      </c>
      <c r="B15" s="190" t="s">
        <v>288</v>
      </c>
      <c r="C15" s="316">
        <f>-'[8]PL_KPMG'!AK13</f>
        <v>27081</v>
      </c>
      <c r="D15" s="316">
        <f>-'[8]PL_KPMG'!AL13</f>
        <v>27549</v>
      </c>
      <c r="E15" s="245" t="s">
        <v>79</v>
      </c>
      <c r="F15" s="240" t="s">
        <v>289</v>
      </c>
      <c r="G15" s="316">
        <f>'[8]PL_KPMG'!$AK$7</f>
        <v>30568</v>
      </c>
      <c r="H15" s="316">
        <f>'[8]PL_KPMG'!$AL$7</f>
        <v>31530</v>
      </c>
    </row>
    <row r="16" spans="1:8" ht="15.75">
      <c r="A16" s="194" t="s">
        <v>290</v>
      </c>
      <c r="B16" s="190" t="s">
        <v>291</v>
      </c>
      <c r="C16" s="316">
        <f>-'[8]PL_KPMG'!AK14</f>
        <v>7762</v>
      </c>
      <c r="D16" s="316">
        <f>-'[8]PL_KPMG'!AL14</f>
        <v>5699</v>
      </c>
      <c r="E16" s="236" t="s">
        <v>52</v>
      </c>
      <c r="F16" s="264" t="s">
        <v>292</v>
      </c>
      <c r="G16" s="625">
        <f>SUM(G12:G15)</f>
        <v>206240</v>
      </c>
      <c r="H16" s="626">
        <f>SUM(H12:H15)</f>
        <v>191200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-SUM('[8]PL_KPMG'!AK$15:AK$17)</f>
        <v>15820</v>
      </c>
      <c r="D19" s="316">
        <f>-SUM('[8]PL_KPMG'!$AL$15:$AL$17)</f>
        <v>16765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-'[8]PL_KPMG'!AK$15</f>
        <v>8691</v>
      </c>
      <c r="D20" s="316">
        <f>-'[8]PL_KPMG'!AL$15</f>
        <v>8516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('[8]AJUR'!$L$517+'[8]AJUR'!$L$521)/1000</f>
        <v>753.2239099999999</v>
      </c>
      <c r="D21" s="317">
        <f>'[6]2-Отчет за доходите'!$C$21</f>
        <v>826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163819</v>
      </c>
      <c r="D22" s="626">
        <f>SUM(D12:D18)+D19</f>
        <v>154766</v>
      </c>
      <c r="E22" s="194" t="s">
        <v>309</v>
      </c>
      <c r="F22" s="237" t="s">
        <v>310</v>
      </c>
      <c r="G22" s="316">
        <f>ROUND('[8]NoteP&amp;L'!$C$81/1000+'[8]NoteP&amp;L'!$C$83/1000,0)</f>
        <v>10</v>
      </c>
      <c r="H22" s="317">
        <f>'[6]2-Отчет за доходите'!$G$22</f>
        <v>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-ROUND(SUM('[8]NoteP&amp;L'!$C$88:$C$94)/1000,0)</f>
        <v>1239</v>
      </c>
      <c r="D25" s="316">
        <f>'[6]2-Отчет за доходите'!$C$25</f>
        <v>2566</v>
      </c>
      <c r="E25" s="194" t="s">
        <v>318</v>
      </c>
      <c r="F25" s="237" t="s">
        <v>319</v>
      </c>
      <c r="G25" s="316">
        <f>ROUND('[8]NoteP&amp;L'!$C$85/1000,0)</f>
        <v>0</v>
      </c>
      <c r="H25" s="317">
        <f>'[6]2-Отчет за доходите'!$G$25</f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ROUND('[5]NoteP&amp;L'!$C$77/1000,0)</f>
        <v>0</v>
      </c>
      <c r="H26" s="317">
        <f>'[6]2-Отчет за доходите'!$G$26</f>
        <v>7</v>
      </c>
    </row>
    <row r="27" spans="1:8" ht="31.5">
      <c r="A27" s="194" t="s">
        <v>324</v>
      </c>
      <c r="B27" s="237" t="s">
        <v>325</v>
      </c>
      <c r="C27" s="316">
        <f>-ROUND('[8]NoteP&amp;L'!$C$96/1000,0)</f>
        <v>20</v>
      </c>
      <c r="D27" s="316">
        <f>'[6]2-Отчет за доходите'!$C$27</f>
        <v>71</v>
      </c>
      <c r="E27" s="236" t="s">
        <v>104</v>
      </c>
      <c r="F27" s="238" t="s">
        <v>326</v>
      </c>
      <c r="G27" s="625">
        <f>SUM(G22:G26)</f>
        <v>10</v>
      </c>
      <c r="H27" s="626">
        <f>SUM(H22:H26)</f>
        <v>37</v>
      </c>
    </row>
    <row r="28" spans="1:8" ht="15.75">
      <c r="A28" s="194" t="s">
        <v>79</v>
      </c>
      <c r="B28" s="237" t="s">
        <v>327</v>
      </c>
      <c r="C28" s="316">
        <f>-'[8]NoteP&amp;L'!$C$95/1000</f>
        <v>58.58655</v>
      </c>
      <c r="D28" s="316">
        <f>'[6]2-Отчет за доходите'!$C$28</f>
        <v>104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1317.58655</v>
      </c>
      <c r="D29" s="626">
        <f>SUM(D25:D28)</f>
        <v>2741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165136.58655</v>
      </c>
      <c r="D31" s="632">
        <f>D29+D22</f>
        <v>157507</v>
      </c>
      <c r="E31" s="251" t="s">
        <v>824</v>
      </c>
      <c r="F31" s="266" t="s">
        <v>331</v>
      </c>
      <c r="G31" s="253">
        <f>G16+G18+G27</f>
        <v>206250</v>
      </c>
      <c r="H31" s="254">
        <f>H16+H18+H27</f>
        <v>191237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41113.41344999999</v>
      </c>
      <c r="D33" s="244">
        <f>IF((H31-D31)&gt;0,H31-D31,0)</f>
        <v>33730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165136.58655</v>
      </c>
      <c r="D36" s="634">
        <f>D31-D34+D35</f>
        <v>157507</v>
      </c>
      <c r="E36" s="262" t="s">
        <v>346</v>
      </c>
      <c r="F36" s="256" t="s">
        <v>347</v>
      </c>
      <c r="G36" s="267">
        <f>G35-G34+G31</f>
        <v>206250</v>
      </c>
      <c r="H36" s="268">
        <f>H35-H34+H31</f>
        <v>191237</v>
      </c>
    </row>
    <row r="37" spans="1:8" ht="15.75">
      <c r="A37" s="261" t="s">
        <v>348</v>
      </c>
      <c r="B37" s="231" t="s">
        <v>349</v>
      </c>
      <c r="C37" s="631">
        <f>IF((G36-C36)&gt;0,G36-C36,0)</f>
        <v>41113.41344999999</v>
      </c>
      <c r="D37" s="632">
        <f>IF((H36-D36)&gt;0,H36-D36,0)</f>
        <v>33730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4638</v>
      </c>
      <c r="D38" s="626">
        <f>D39+D40+D41</f>
        <v>3665.25113289363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ROUND('[8]IAS'!$F$113/1000,0)</f>
        <v>5594</v>
      </c>
      <c r="D39" s="317">
        <f>'[6]2-Отчет за доходите'!$C$39</f>
        <v>4276.25113289363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ROUND('[8]IAS'!$F$115/1000,0)</f>
        <v>-956</v>
      </c>
      <c r="D40" s="317">
        <v>-611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36475.41344999999</v>
      </c>
      <c r="D42" s="244">
        <f>+IF((H36-D36-D38)&gt;0,H36-D36-D38,0)</f>
        <v>30064.74886710637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36475.41344999999</v>
      </c>
      <c r="D44" s="268">
        <f>IF(H42=0,IF(D42-D43&gt;0,D42-D43+H43,0),IF(H42-H43&lt;0,H43-H42+D42,0))</f>
        <v>30064.74886710637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206250</v>
      </c>
      <c r="D45" s="628">
        <f>D36+D38+D42</f>
        <v>191237</v>
      </c>
      <c r="E45" s="270" t="s">
        <v>373</v>
      </c>
      <c r="F45" s="272" t="s">
        <v>374</v>
      </c>
      <c r="G45" s="627">
        <f>G42+G36</f>
        <v>206250</v>
      </c>
      <c r="H45" s="628">
        <f>H42+H36</f>
        <v>191237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44029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/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/>
      <c r="C58" s="709"/>
      <c r="D58" s="709"/>
      <c r="E58" s="709"/>
      <c r="F58" s="571"/>
      <c r="G58" s="45"/>
      <c r="H58" s="42"/>
    </row>
    <row r="59" spans="1:8" ht="15.75">
      <c r="A59" s="693"/>
      <c r="B59" s="709"/>
      <c r="C59" s="709"/>
      <c r="D59" s="709"/>
      <c r="E59" s="709"/>
      <c r="F59" s="571"/>
      <c r="G59" s="45"/>
      <c r="H59" s="42"/>
    </row>
    <row r="60" spans="1:8" ht="15.75">
      <c r="A60" s="693"/>
      <c r="B60" s="709"/>
      <c r="C60" s="709"/>
      <c r="D60" s="709"/>
      <c r="E60" s="709"/>
      <c r="F60" s="571"/>
      <c r="G60" s="45"/>
      <c r="H60" s="42"/>
    </row>
    <row r="61" spans="1:8" ht="15.75">
      <c r="A61" s="693"/>
      <c r="B61" s="709"/>
      <c r="C61" s="709"/>
      <c r="D61" s="709"/>
      <c r="E61" s="70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ROUND('[9]Cash Flow LBE 2019'!$O$12,0)</f>
        <v>202240</v>
      </c>
      <c r="D11" s="196">
        <f>'[6]3-Отчет за паричния поток'!$C$11</f>
        <v>188917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ROUND('[9]Cash Flow LBE 2019'!$O$14,0)</f>
        <v>-31953</v>
      </c>
      <c r="D14" s="196">
        <f>'[6]3-Отчет за паричния поток'!$C$14</f>
        <v>-30673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ROUND('[9]Cash Flow LBE 2019'!$O$39+'[9]Cash Flow LBE 2019'!$O$40,0)</f>
        <v>-18702</v>
      </c>
      <c r="D15" s="196">
        <f>'[6]3-Отчет за паричния поток'!$C$15</f>
        <v>-17404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ROUND('[9]Cash Flow LBE 2019'!$O$38,0)</f>
        <v>-5325</v>
      </c>
      <c r="D16" s="196">
        <f>'[6]3-Отчет за паричния поток'!$C$16</f>
        <v>-4701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ROUND(SUM('[9]Cash Flow LBE 2019'!$O$15:$O$22)+'[9]Cash Flow LBE 2019'!$O$30,0)-17</f>
        <v>-59713</v>
      </c>
      <c r="D20" s="196">
        <f>'[6]3-Отчет за паричния поток'!$C$20</f>
        <v>-56711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86547</v>
      </c>
      <c r="D21" s="656">
        <f>SUM(D11:D20)</f>
        <v>79428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ROUND('[9]Cash Flow LBE 2019'!$O$36,0)</f>
        <v>-42012</v>
      </c>
      <c r="D23" s="196">
        <f>'[6]3-Отчет за паричния поток'!$C$23</f>
        <v>-40182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-42012</v>
      </c>
      <c r="D33" s="656">
        <f>SUM(D23:D32)</f>
        <v>-40182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'[6]3-Отчет за паричния поток'!$C$37</f>
        <v>98320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ROUND('[9]Cash Flow LBE 2019'!$O$55,0)</f>
        <v>-28607</v>
      </c>
      <c r="D38" s="196">
        <f>'[6]3-Отчет за паричния поток'!$C$38</f>
        <v>-123184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ROUND('[9]Cash Flow LBE 2019'!$O$49,0)+2</f>
        <v>-1147</v>
      </c>
      <c r="D39" s="196">
        <f>'[6]3-Отчет за паричния поток'!$C$39-2</f>
        <v>-1352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ROUND('[9]Cash Flow LBE 2019'!$O$43,0)</f>
        <v>-847</v>
      </c>
      <c r="D40" s="196">
        <f>'[6]3-Отчет за паричния поток'!$C$40</f>
        <v>-3127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ROUND('[9]Cash Flow LBE 2019'!$O$46,0)</f>
        <v>251</v>
      </c>
      <c r="D42" s="196">
        <f>'[6]3-Отчет за паричния поток'!$C$42</f>
        <v>249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-30350</v>
      </c>
      <c r="D43" s="658">
        <f>SUM(D35:D42)</f>
        <v>-29094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14185</v>
      </c>
      <c r="D44" s="307">
        <f>D43+D33+D21</f>
        <v>10152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35814</v>
      </c>
      <c r="D45" s="309">
        <f>'[6]3-Отчет за паричния поток'!$C$45</f>
        <v>25662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49999</v>
      </c>
      <c r="D46" s="311">
        <f>D45+D44</f>
        <v>35814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49999</v>
      </c>
      <c r="D47" s="298">
        <f>D46</f>
        <v>35814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1088</v>
      </c>
      <c r="D48" s="281">
        <f>'[6]3-Отчет за паричния поток'!$C$48</f>
        <v>775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44029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.75">
      <c r="A60" s="693"/>
      <c r="B60" s="708"/>
      <c r="C60" s="709"/>
      <c r="D60" s="709"/>
      <c r="E60" s="709"/>
      <c r="F60" s="571"/>
      <c r="G60" s="45"/>
      <c r="H60" s="42"/>
    </row>
    <row r="61" spans="1:8" ht="15.75">
      <c r="A61" s="693"/>
      <c r="B61" s="708"/>
      <c r="C61" s="709"/>
      <c r="D61" s="709"/>
      <c r="E61" s="709"/>
      <c r="F61" s="571"/>
      <c r="G61" s="45"/>
      <c r="H61" s="42"/>
    </row>
    <row r="62" spans="1:8" ht="15.7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.75">
      <c r="A63" s="693"/>
      <c r="B63" s="708"/>
      <c r="C63" s="709"/>
      <c r="D63" s="709"/>
      <c r="E63" s="709"/>
      <c r="F63" s="571"/>
      <c r="G63" s="45"/>
      <c r="H63" s="42"/>
    </row>
    <row r="64" spans="1:8" ht="15.75">
      <c r="A64" s="693"/>
      <c r="B64" s="708"/>
      <c r="C64" s="709"/>
      <c r="D64" s="709"/>
      <c r="E64" s="709"/>
      <c r="F64" s="571"/>
      <c r="G64" s="45"/>
      <c r="H64" s="42"/>
    </row>
    <row r="65" spans="1:8" ht="15.75">
      <c r="A65" s="693"/>
      <c r="B65" s="709"/>
      <c r="C65" s="709"/>
      <c r="D65" s="709"/>
      <c r="E65" s="70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5" sqref="I15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-348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238449</v>
      </c>
      <c r="J13" s="581">
        <f>'1-Баланс'!H30+'1-Баланс'!H33</f>
        <v>0</v>
      </c>
      <c r="K13" s="582"/>
      <c r="L13" s="581">
        <f>SUM(C13:K13)</f>
        <v>257759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-56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-56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>
        <v>-56</v>
      </c>
      <c r="J15" s="316"/>
      <c r="K15" s="316"/>
      <c r="L15" s="581">
        <f t="shared" si="1"/>
        <v>-56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-348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238393</v>
      </c>
      <c r="J17" s="650">
        <f t="shared" si="2"/>
        <v>0</v>
      </c>
      <c r="K17" s="650">
        <f t="shared" si="2"/>
        <v>0</v>
      </c>
      <c r="L17" s="581">
        <f t="shared" si="1"/>
        <v>257703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36475.41344999999</v>
      </c>
      <c r="J18" s="581">
        <f>+'1-Баланс'!G33</f>
        <v>0</v>
      </c>
      <c r="K18" s="582"/>
      <c r="L18" s="581">
        <f t="shared" si="1"/>
        <v>36475.41344999999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-121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-121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>
        <v>-121</v>
      </c>
      <c r="F27" s="316"/>
      <c r="G27" s="316"/>
      <c r="H27" s="316"/>
      <c r="I27" s="316"/>
      <c r="J27" s="316"/>
      <c r="K27" s="316"/>
      <c r="L27" s="581">
        <f t="shared" si="1"/>
        <v>-121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-469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274868.41345</v>
      </c>
      <c r="J31" s="650">
        <f t="shared" si="6"/>
        <v>0</v>
      </c>
      <c r="K31" s="650">
        <f t="shared" si="6"/>
        <v>0</v>
      </c>
      <c r="L31" s="581">
        <f t="shared" si="1"/>
        <v>294057.41345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-469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274868.41345</v>
      </c>
      <c r="J34" s="584">
        <f t="shared" si="7"/>
        <v>0</v>
      </c>
      <c r="K34" s="584">
        <f t="shared" si="7"/>
        <v>0</v>
      </c>
      <c r="L34" s="648">
        <f t="shared" si="1"/>
        <v>294057.41345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44029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.7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.7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.7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.7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.7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.75">
      <c r="A49" s="693"/>
      <c r="B49" s="709"/>
      <c r="C49" s="709"/>
      <c r="D49" s="709"/>
      <c r="E49" s="70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44029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.7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.7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.7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.75">
      <c r="A160" s="693"/>
      <c r="B160" s="709"/>
      <c r="C160" s="709"/>
      <c r="D160" s="709"/>
      <c r="E160" s="709"/>
      <c r="F160" s="571"/>
      <c r="G160" s="45"/>
      <c r="H160" s="42"/>
    </row>
    <row r="161" spans="1:8" ht="15.75">
      <c r="A161" s="693"/>
      <c r="B161" s="709"/>
      <c r="C161" s="709"/>
      <c r="D161" s="709"/>
      <c r="E161" s="709"/>
      <c r="F161" s="571"/>
      <c r="G161" s="45"/>
      <c r="H161" s="42"/>
    </row>
    <row r="162" spans="1:8" ht="15.7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9">
      <selection activeCell="E14" sqref="E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4092</v>
      </c>
      <c r="F12" s="698">
        <v>664</v>
      </c>
      <c r="G12" s="699">
        <f aca="true" t="shared" si="2" ref="G12:G41">D12+E12-F12</f>
        <v>3953</v>
      </c>
      <c r="H12" s="328"/>
      <c r="I12" s="328"/>
      <c r="J12" s="699">
        <f aca="true" t="shared" si="3" ref="J12:J26">G12+H12-I12</f>
        <v>3953</v>
      </c>
      <c r="K12" s="698">
        <v>2834</v>
      </c>
      <c r="L12" s="698">
        <v>1097</v>
      </c>
      <c r="M12" s="698">
        <v>633</v>
      </c>
      <c r="N12" s="699">
        <f aca="true" t="shared" si="4" ref="N12:N41">K12+L12-M12</f>
        <v>3298</v>
      </c>
      <c r="O12" s="328"/>
      <c r="P12" s="328"/>
      <c r="Q12" s="699">
        <f t="shared" si="0"/>
        <v>3298</v>
      </c>
      <c r="R12" s="701">
        <f t="shared" si="1"/>
        <v>655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36407</v>
      </c>
      <c r="E13" s="698">
        <v>2080</v>
      </c>
      <c r="F13" s="698">
        <v>313</v>
      </c>
      <c r="G13" s="699">
        <f t="shared" si="2"/>
        <v>38174</v>
      </c>
      <c r="H13" s="328"/>
      <c r="I13" s="328"/>
      <c r="J13" s="699">
        <f t="shared" si="3"/>
        <v>38174</v>
      </c>
      <c r="K13" s="698">
        <v>24320</v>
      </c>
      <c r="L13" s="698">
        <v>3358</v>
      </c>
      <c r="M13" s="698">
        <v>291</v>
      </c>
      <c r="N13" s="699">
        <f t="shared" si="4"/>
        <v>27387</v>
      </c>
      <c r="O13" s="328"/>
      <c r="P13" s="328"/>
      <c r="Q13" s="699">
        <f t="shared" si="0"/>
        <v>27387</v>
      </c>
      <c r="R13" s="701">
        <f t="shared" si="1"/>
        <v>10787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16485</v>
      </c>
      <c r="E15" s="698">
        <v>3281</v>
      </c>
      <c r="F15" s="698">
        <v>405</v>
      </c>
      <c r="G15" s="699">
        <f t="shared" si="2"/>
        <v>19361</v>
      </c>
      <c r="H15" s="328"/>
      <c r="I15" s="328"/>
      <c r="J15" s="699">
        <f t="shared" si="3"/>
        <v>19361</v>
      </c>
      <c r="K15" s="698">
        <v>10149</v>
      </c>
      <c r="L15" s="698">
        <v>1632</v>
      </c>
      <c r="M15" s="698">
        <v>405</v>
      </c>
      <c r="N15" s="699">
        <f t="shared" si="4"/>
        <v>11376</v>
      </c>
      <c r="O15" s="328"/>
      <c r="P15" s="328"/>
      <c r="Q15" s="699">
        <f t="shared" si="0"/>
        <v>11376</v>
      </c>
      <c r="R15" s="701">
        <f t="shared" si="1"/>
        <v>7985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4667</v>
      </c>
      <c r="F17" s="698">
        <v>4667.313150000001</v>
      </c>
      <c r="G17" s="699">
        <f t="shared" si="2"/>
        <v>-0.31315000000086</v>
      </c>
      <c r="H17" s="328"/>
      <c r="I17" s="328"/>
      <c r="J17" s="699">
        <f t="shared" si="3"/>
        <v>-0.31315000000086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-0.31315000000086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1954</v>
      </c>
      <c r="E18" s="698">
        <v>128</v>
      </c>
      <c r="F18" s="698">
        <v>-0.31315000000086</v>
      </c>
      <c r="G18" s="699">
        <f t="shared" si="2"/>
        <v>2082.313150000001</v>
      </c>
      <c r="H18" s="328"/>
      <c r="I18" s="328"/>
      <c r="J18" s="699">
        <f t="shared" si="3"/>
        <v>2082.313150000001</v>
      </c>
      <c r="K18" s="698">
        <v>1175</v>
      </c>
      <c r="L18" s="698">
        <v>95</v>
      </c>
      <c r="M18" s="698">
        <v>0</v>
      </c>
      <c r="N18" s="699">
        <f t="shared" si="4"/>
        <v>1270</v>
      </c>
      <c r="O18" s="328"/>
      <c r="P18" s="328"/>
      <c r="Q18" s="699">
        <f t="shared" si="0"/>
        <v>1270</v>
      </c>
      <c r="R18" s="701">
        <f t="shared" si="1"/>
        <v>812.3131500000009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55556</v>
      </c>
      <c r="E19" s="700">
        <f>SUM(E11:E18)</f>
        <v>14248</v>
      </c>
      <c r="F19" s="700">
        <f>SUM(F11:F18)</f>
        <v>6049</v>
      </c>
      <c r="G19" s="703">
        <f t="shared" si="2"/>
        <v>63755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63755</v>
      </c>
      <c r="K19" s="700">
        <f>SUM(K11:K18)</f>
        <v>38478</v>
      </c>
      <c r="L19" s="700">
        <f>SUM(L11:L18)</f>
        <v>6182</v>
      </c>
      <c r="M19" s="700">
        <f>SUM(M11:M18)</f>
        <v>1329</v>
      </c>
      <c r="N19" s="703">
        <f t="shared" si="4"/>
        <v>43331</v>
      </c>
      <c r="O19" s="330">
        <f>SUM(O11:O18)</f>
        <v>0</v>
      </c>
      <c r="P19" s="330">
        <f>SUM(P11:P18)</f>
        <v>0</v>
      </c>
      <c r="Q19" s="703">
        <f t="shared" si="0"/>
        <v>43331</v>
      </c>
      <c r="R19" s="704">
        <f t="shared" si="1"/>
        <v>20424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21195.47518</v>
      </c>
      <c r="E24" s="698">
        <v>429</v>
      </c>
      <c r="F24" s="698"/>
      <c r="G24" s="699">
        <f t="shared" si="2"/>
        <v>21624.47518</v>
      </c>
      <c r="H24" s="698"/>
      <c r="I24" s="698"/>
      <c r="J24" s="699">
        <f t="shared" si="3"/>
        <v>21624.47518</v>
      </c>
      <c r="K24" s="698">
        <v>16667</v>
      </c>
      <c r="L24" s="698">
        <v>760.71577</v>
      </c>
      <c r="M24" s="698"/>
      <c r="N24" s="699">
        <f t="shared" si="4"/>
        <v>17427.71577</v>
      </c>
      <c r="O24" s="698"/>
      <c r="P24" s="698"/>
      <c r="Q24" s="699">
        <f t="shared" si="0"/>
        <v>17427.71577</v>
      </c>
      <c r="R24" s="701">
        <f t="shared" si="1"/>
        <v>4196.759410000002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21037.49128</v>
      </c>
      <c r="L25" s="698">
        <v>0.49128</v>
      </c>
      <c r="M25" s="698"/>
      <c r="N25" s="699">
        <f t="shared" si="4"/>
        <v>21037.982559999997</v>
      </c>
      <c r="O25" s="698"/>
      <c r="P25" s="698"/>
      <c r="Q25" s="699">
        <f t="shared" si="0"/>
        <v>21037.982559999997</v>
      </c>
      <c r="R25" s="701">
        <f t="shared" si="1"/>
        <v>3.017440000003262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534139.52482</v>
      </c>
      <c r="E26" s="698">
        <v>77345</v>
      </c>
      <c r="F26" s="698">
        <v>36219</v>
      </c>
      <c r="G26" s="699">
        <f t="shared" si="2"/>
        <v>575265.52482</v>
      </c>
      <c r="H26" s="698"/>
      <c r="I26" s="698"/>
      <c r="J26" s="699">
        <f t="shared" si="3"/>
        <v>575265.52482</v>
      </c>
      <c r="K26" s="698">
        <v>255156.50871999998</v>
      </c>
      <c r="L26" s="698">
        <v>43093.28423</v>
      </c>
      <c r="M26" s="698">
        <v>1.06697</v>
      </c>
      <c r="N26" s="699">
        <f t="shared" si="4"/>
        <v>298248.72598</v>
      </c>
      <c r="O26" s="698"/>
      <c r="P26" s="698"/>
      <c r="Q26" s="699">
        <f t="shared" si="0"/>
        <v>298248.72598</v>
      </c>
      <c r="R26" s="701">
        <f t="shared" si="1"/>
        <v>277016.79884000006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576376</v>
      </c>
      <c r="E27" s="702">
        <f>SUM(E24:E26)</f>
        <v>77774</v>
      </c>
      <c r="F27" s="702">
        <f>SUM(F24:F26)</f>
        <v>36219</v>
      </c>
      <c r="G27" s="705">
        <f t="shared" si="2"/>
        <v>617931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617931</v>
      </c>
      <c r="K27" s="702">
        <f>SUM(K24:K26)</f>
        <v>292861</v>
      </c>
      <c r="L27" s="702">
        <f>SUM(L24:L26)</f>
        <v>43854.491279999995</v>
      </c>
      <c r="M27" s="702">
        <f>SUM(M24:M26)</f>
        <v>1.06697</v>
      </c>
      <c r="N27" s="705">
        <f t="shared" si="4"/>
        <v>336714.42431000003</v>
      </c>
      <c r="O27" s="702">
        <f t="shared" si="6"/>
        <v>0</v>
      </c>
      <c r="P27" s="702">
        <f t="shared" si="6"/>
        <v>0</v>
      </c>
      <c r="Q27" s="705">
        <f t="shared" si="0"/>
        <v>336714.42431000003</v>
      </c>
      <c r="R27" s="706">
        <f>SUM(R24:R26)</f>
        <v>281216.5756900001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639325</v>
      </c>
      <c r="E42" s="346">
        <f>E19+E20+E21+E27+E40+E41</f>
        <v>92022</v>
      </c>
      <c r="F42" s="346">
        <f aca="true" t="shared" si="12" ref="F42:R42">F19+F20+F21+F27+F40+F41</f>
        <v>42268</v>
      </c>
      <c r="G42" s="346">
        <f t="shared" si="12"/>
        <v>689079</v>
      </c>
      <c r="H42" s="346">
        <f t="shared" si="12"/>
        <v>0</v>
      </c>
      <c r="I42" s="346">
        <f t="shared" si="12"/>
        <v>0</v>
      </c>
      <c r="J42" s="346">
        <f t="shared" si="12"/>
        <v>689079</v>
      </c>
      <c r="K42" s="346">
        <f t="shared" si="12"/>
        <v>338732</v>
      </c>
      <c r="L42" s="346">
        <f t="shared" si="12"/>
        <v>50036.491279999995</v>
      </c>
      <c r="M42" s="346">
        <f t="shared" si="12"/>
        <v>1330.06697</v>
      </c>
      <c r="N42" s="346">
        <f t="shared" si="12"/>
        <v>387438.42431000003</v>
      </c>
      <c r="O42" s="346">
        <f t="shared" si="12"/>
        <v>0</v>
      </c>
      <c r="P42" s="346">
        <f t="shared" si="12"/>
        <v>0</v>
      </c>
      <c r="Q42" s="346">
        <f t="shared" si="12"/>
        <v>387438.42431000003</v>
      </c>
      <c r="R42" s="347">
        <f t="shared" si="12"/>
        <v>301640.5756900001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44029</v>
      </c>
      <c r="D45" s="710"/>
      <c r="E45" s="710"/>
      <c r="F45" s="710"/>
      <c r="G45" s="710"/>
      <c r="H45" s="710"/>
      <c r="I45" s="710"/>
      <c r="J45" s="521"/>
      <c r="K45" s="521"/>
      <c r="L45" s="523"/>
      <c r="M45" s="523"/>
      <c r="N45" s="523"/>
      <c r="O45" s="523"/>
      <c r="P45" s="523"/>
      <c r="Q45" s="523"/>
      <c r="R45" s="523"/>
    </row>
    <row r="46" spans="2:10" ht="15.75">
      <c r="B46" s="691"/>
      <c r="C46" s="52"/>
      <c r="D46" s="52"/>
      <c r="E46" s="52"/>
      <c r="F46" s="52"/>
      <c r="G46" s="52"/>
      <c r="H46" s="52"/>
      <c r="I46" s="52"/>
      <c r="J46" s="124"/>
    </row>
    <row r="47" spans="2:10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  <c r="J47" s="124"/>
    </row>
    <row r="48" spans="2:10" ht="15.75">
      <c r="B48" s="692"/>
      <c r="C48" s="80"/>
      <c r="D48" s="80"/>
      <c r="E48" s="80"/>
      <c r="F48" s="80"/>
      <c r="G48" s="80"/>
      <c r="H48" s="80"/>
      <c r="I48" s="80"/>
      <c r="J48" s="124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.7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.7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.7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.7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.7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.7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97">
      <selection activeCell="C104" sqref="C104:E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174.5939099999999</v>
      </c>
      <c r="D18" s="359">
        <f>+D19+D20</f>
        <v>0</v>
      </c>
      <c r="E18" s="366">
        <f t="shared" si="0"/>
        <v>174.5939099999999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174.5939099999999</v>
      </c>
      <c r="D20" s="365"/>
      <c r="E20" s="366">
        <f t="shared" si="0"/>
        <v>174.5939099999999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174.5939099999999</v>
      </c>
      <c r="D21" s="437">
        <f>D13+D17+D18</f>
        <v>0</v>
      </c>
      <c r="E21" s="438">
        <f>E13+E17+E18</f>
        <v>174.5939099999999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8907</v>
      </c>
      <c r="D23" s="440"/>
      <c r="E23" s="439">
        <f t="shared" si="0"/>
        <v>8907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85</v>
      </c>
      <c r="D26" s="359">
        <f>SUM(D27:D29)</f>
        <v>85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85</v>
      </c>
      <c r="D29" s="365">
        <f>C29</f>
        <v>85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38728</v>
      </c>
      <c r="D30" s="365">
        <f>C30</f>
        <v>38728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38813</v>
      </c>
      <c r="D45" s="435">
        <f>D26+D30+D31+D33+D32+D34+D35+D40</f>
        <v>38813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47894.59391</v>
      </c>
      <c r="D46" s="441">
        <f>D45+D23+D21+D11</f>
        <v>38813</v>
      </c>
      <c r="E46" s="442">
        <f>E45+E23+E21+E11</f>
        <v>9081.59391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44579</v>
      </c>
      <c r="D58" s="138">
        <f>D59+D61</f>
        <v>22215</v>
      </c>
      <c r="E58" s="136">
        <f t="shared" si="1"/>
        <v>22364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ROUND('[8]loans_short_long'!$G$43/1000,0)</f>
        <v>44579</v>
      </c>
      <c r="D59" s="197">
        <f>ROUND('[8]loans_short_long'!$G$39/1000,0)</f>
        <v>22215</v>
      </c>
      <c r="E59" s="136">
        <f t="shared" si="1"/>
        <v>22364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'1-Баланс'!G49+'[8]BS_KPMG'!$W$37+'[8]BS_KPMG'!$W$45</f>
        <v>10096</v>
      </c>
      <c r="D66" s="197">
        <f>D67</f>
        <v>1324</v>
      </c>
      <c r="E66" s="136">
        <f t="shared" si="1"/>
        <v>8772</v>
      </c>
      <c r="F66" s="196"/>
    </row>
    <row r="67" spans="1:6" ht="15.75">
      <c r="A67" s="367" t="s">
        <v>684</v>
      </c>
      <c r="B67" s="135" t="s">
        <v>685</v>
      </c>
      <c r="C67" s="197">
        <f>'[8]BS_KPMG'!$W$37+'[8]BS_KPMG'!$W$45</f>
        <v>2093</v>
      </c>
      <c r="D67" s="197">
        <f>'[8]BS_KPMG'!$W$45</f>
        <v>1324</v>
      </c>
      <c r="E67" s="136">
        <f t="shared" si="1"/>
        <v>769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54675</v>
      </c>
      <c r="D68" s="432">
        <f>D54+D58+D63+D64+D65+D66</f>
        <v>23539</v>
      </c>
      <c r="E68" s="433">
        <f t="shared" si="1"/>
        <v>31136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3653</v>
      </c>
      <c r="D73" s="137">
        <f>SUM(D74:D76)</f>
        <v>3653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3653</v>
      </c>
      <c r="D76" s="197">
        <f>C76</f>
        <v>3653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40740</v>
      </c>
      <c r="D87" s="134">
        <f>SUM(D88:D92)+D96</f>
        <v>40740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32130</v>
      </c>
      <c r="D89" s="197">
        <f>C89</f>
        <v>32130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5530</v>
      </c>
      <c r="D91" s="197">
        <f>C91</f>
        <v>5530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2129</v>
      </c>
      <c r="D92" s="138">
        <f>SUM(D93:D95)</f>
        <v>2129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ROUND('[8]BS_KPMG'!$W$48,0)</f>
        <v>450</v>
      </c>
      <c r="D93" s="197">
        <f>C93</f>
        <v>450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>
        <f>ROUND('[8]NoteBS'!$E$65,0)</f>
        <v>1263</v>
      </c>
      <c r="D94" s="197">
        <f>C94</f>
        <v>1263</v>
      </c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f>ROUND('[8]NoteBS'!$E$66,0)</f>
        <v>416</v>
      </c>
      <c r="D95" s="197">
        <f>C95</f>
        <v>416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951</v>
      </c>
      <c r="D96" s="197">
        <f>C96</f>
        <v>951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6185</v>
      </c>
      <c r="D97" s="197">
        <f>C97</f>
        <v>6185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50578</v>
      </c>
      <c r="D98" s="430">
        <f>D87+D82+D77+D73+D97</f>
        <v>50578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105253</v>
      </c>
      <c r="D99" s="424">
        <f>D98+D70+D68</f>
        <v>74117</v>
      </c>
      <c r="E99" s="424">
        <f>E98+E70+E68</f>
        <v>31136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ROUND('[8]NoteBS'!$C$108+'[8]NoteBS'!$C$107,0)</f>
        <v>1835</v>
      </c>
      <c r="D104" s="216">
        <f>ROUND('[8]NoteBS'!$D$108,0)+1</f>
        <v>166</v>
      </c>
      <c r="E104" s="216">
        <f>ROUND(-'[8]NoteBS'!$E$108-'[8]NoteBS'!$F$108,0)</f>
        <v>518</v>
      </c>
      <c r="F104" s="418">
        <f>C104+D104-E104</f>
        <v>1483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>
        <f>ROUND('[8]NoteBS'!$D$109,0)+1</f>
        <v>1090</v>
      </c>
      <c r="E106" s="280">
        <f>ROUND(-'[3]FInst, loans'!$C$200,0)</f>
        <v>0</v>
      </c>
      <c r="F106" s="420">
        <f>C106+D106-E106</f>
        <v>1090</v>
      </c>
    </row>
    <row r="107" spans="1:6" ht="16.5" thickBot="1">
      <c r="A107" s="415" t="s">
        <v>752</v>
      </c>
      <c r="B107" s="421" t="s">
        <v>753</v>
      </c>
      <c r="C107" s="422">
        <f>SUM(C104:C106)</f>
        <v>1835</v>
      </c>
      <c r="D107" s="422">
        <f>SUM(D104:D106)</f>
        <v>1256</v>
      </c>
      <c r="E107" s="422">
        <f>SUM(E104:E106)</f>
        <v>518</v>
      </c>
      <c r="F107" s="423">
        <f>SUM(F104:F106)</f>
        <v>2573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44029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107826</v>
      </c>
      <c r="C119" s="709"/>
      <c r="D119" s="709"/>
      <c r="E119" s="709"/>
      <c r="F119" s="709"/>
      <c r="G119" s="693"/>
      <c r="H119" s="693"/>
    </row>
    <row r="120" spans="1:8" ht="15.75">
      <c r="A120" s="693"/>
      <c r="B120" s="737">
        <f>'1-Баланс'!G56+'1-Баланс'!G79</f>
        <v>107826</v>
      </c>
      <c r="C120" s="709"/>
      <c r="D120" s="709"/>
      <c r="E120" s="709"/>
      <c r="F120" s="709"/>
      <c r="G120" s="693"/>
      <c r="H120" s="693"/>
    </row>
    <row r="121" spans="1:8" ht="15.7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.7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44029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годишни и шестмесечни на индивидуална основа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2020-07-20T06:22:39Z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2019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годишни и шестмесечни на индивидуална основа</vt:lpwstr>
  </property>
  <property fmtid="{D5CDD505-2E9C-101B-9397-08002B2CF9AE}" pid="6" name="Catego">
    <vt:lpwstr>5</vt:lpwstr>
  </property>
  <property fmtid="{D5CDD505-2E9C-101B-9397-08002B2CF9AE}" pid="7" name="Subcatego">
    <vt:lpwstr>Годишни доклади</vt:lpwstr>
  </property>
</Properties>
</file>