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91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<sst xmlns="http://schemas.openxmlformats.org/spreadsheetml/2006/main" count="1065" uniqueCount="874">
  <si>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</si>
  <si>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</si>
  <si>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</si>
  <si>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</si>
  <si>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</si>
  <si>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</si>
  <si>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</si>
  <si>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</si>
  <si>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</si>
  <si>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</si>
  <si>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</si>
  <si>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</si>
  <si>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</si>
  <si>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</si>
  <si>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</si>
  <si>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</si>
  <si>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</si>
  <si>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</si>
  <si>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</si>
  <si>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</si>
  <si>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</si>
  <si>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</si>
  <si>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</si>
  <si>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</si>
  <si>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</si>
  <si>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</si>
  <si>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</si>
  <si>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</si>
  <si>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</si>
  <si>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</si>
  <si>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</si>
  <si>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</si>
  <si>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</si>
  <si>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</si>
  <si>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</si>
  <si>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</si>
  <si>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</si>
  <si>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</si>
  <si>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</si>
  <si>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</si>
  <si>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</si>
  <si>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</si>
  <si>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</si>
  <si>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</si>
  <si>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</si>
  <si>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</si>
  <si>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</si>
  <si>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</si>
  <si>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</si>
  <si>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</si>
  <si>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</si>
  <si>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</si>
  <si>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</si>
  <si>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</si>
  <si>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</si>
  <si>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</si>
  <si>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</si>
  <si>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</si>
  <si>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</si>
  <si>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</si>
  <si>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</si>
  <si>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</si>
  <si>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</si>
  <si>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</si>
  <si>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</si>
  <si>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</si>
  <si>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</si>
  <si>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</si>
  <si>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</si>
  <si>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</si>
  <si>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</si>
  <si>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</si>
  <si>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</si>
  <si>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</si>
  <si>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</si>
  <si>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</si>
  <si>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</si>
  <si>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</si>
  <si>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</si>
  <si>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</si>
  <si>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</si>
  <si>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</si>
  <si>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</si>
  <si>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</si>
  <si>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</si>
  <si>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</si>
  <si>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</si>
  <si>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</si>
  <si>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</si>
  <si>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</si>
  <si>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</si>
  <si>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</si>
  <si>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</si>
  <si>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</si>
  <si>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</si>
  <si>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</si>
  <si>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</si>
  <si>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</si>
  <si>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</si>
  <si>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</si>
  <si>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</si>
  <si>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</si>
  <si>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</si>
  <si>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</si>
  <si>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</si>
  <si>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</si>
  <si>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</si>
  <si>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</si>
  <si>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</si>
  <si>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</si>
  <si>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</si>
  <si>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</si>
  <si>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</si>
  <si>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</si>
  <si>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</si>
  <si>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</si>
  <si>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</si>
  <si>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</si>
  <si>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</si>
  <si>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</si>
  <si>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</si>
  <si>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</si>
  <si>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</si>
  <si>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</si>
  <si>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</si>
  <si>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</si>
  <si>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</si>
  <si>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</si>
  <si>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</si>
  <si>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</si>
  <si>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</si>
  <si>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</si>
  <si>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</si>
  <si>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</si>
  <si>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</si>
  <si>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</si>
  <si>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</si>
  <si>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</si>
  <si>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</si>
  <si>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</si>
  <si>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</si>
  <si>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</si>
  <si>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</si>
  <si>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</si>
  <si>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</si>
  <si>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</si>
  <si>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</si>
  <si>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</si>
  <si>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</si>
  <si>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</si>
  <si>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</si>
  <si>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</si>
  <si>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</si>
  <si>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</si>
  <si>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</si>
  <si>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</si>
  <si>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</si>
  <si>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</si>
  <si>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</si>
  <si>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</si>
  <si>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</si>
  <si>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</si>
  <si>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</si>
  <si>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</si>
  <si>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</si>
  <si>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</si>
  <si>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</si>
  <si>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</si>
  <si>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</si>
  <si>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</si>
  <si>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</si>
  <si>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</si>
  <si>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</si>
  <si>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</si>
  <si>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</si>
  <si>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</si>
  <si>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</si>
  <si>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</si>
  <si>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</si>
  <si>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</si>
  <si>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</si>
  <si>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</si>
  <si>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</si>
  <si>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</si>
  <si>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</si>
  <si>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</si>
  <si>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</si>
  <si>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</si>
  <si>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</si>
  <si>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</si>
  <si>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</si>
  <si>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</si>
  <si>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</si>
  <si>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</si>
  <si>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</si>
  <si>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</si>
  <si>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</si>
  <si>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</si>
  <si>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</si>
  <si>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</si>
  <si>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</si>
  <si>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</si>
  <si>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</si>
  <si>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</si>
  <si>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</si>
  <si>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</si>
  <si>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</si>
  <si>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</si>
  <si>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</si>
  <si>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</si>
  <si>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</si>
  <si>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</si>
  <si>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</si>
  <si>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</si>
  <si>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</si>
  <si>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</si>
  <si>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</si>
  <si>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</si>
  <si>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</si>
  <si>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</si>
  <si>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</si>
  <si>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</si>
  <si>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</si>
  <si>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</si>
  <si>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</si>
  <si>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</si>
  <si>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</si>
  <si>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</si>
  <si>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</si>
  <si>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</si>
  <si>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</si>
  <si>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</si>
  <si>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</si>
  <si>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</si>
  <si>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</si>
  <si>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</si>
  <si>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</si>
  <si>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</si>
  <si>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</si>
  <si>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</si>
  <si>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</si>
  <si>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</si>
  <si>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</si>
  <si>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</si>
  <si>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</si>
  <si>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</si>
  <si>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</si>
  <si>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</si>
  <si>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</si>
  <si>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</si>
  <si>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</si>
  <si>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</si>
  <si>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</si>
  <si>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</si>
  <si>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</si>
  <si>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</si>
  <si>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</si>
  <si>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</si>
  <si>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</si>
  <si>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</si>
  <si>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</si>
  <si>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</si>
  <si>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</si>
  <si>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</si>
  <si>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</si>
  <si>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</si>
  <si>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</si>
  <si>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</si>
  <si>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</si>
  <si>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</si>
  <si>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</si>
  <si>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</si>
  <si>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</si>
  <si>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</si>
  <si>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</si>
  <si>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</si>
  <si>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</si>
  <si>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</si>
  <si>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</si>
  <si>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</si>
  <si>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</si>
  <si>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</si>
  <si>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</si>
  <si>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</si>
  <si>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</si>
  <si>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</si>
  <si>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</si>
  <si>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</si>
  <si>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</si>
  <si>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</si>
  <si>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</si>
  <si>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</si>
  <si>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</si>
  <si>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</si>
  <si>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</si>
  <si>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</si>
  <si>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</si>
  <si>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</si>
  <si>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</si>
  <si>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</si>
  <si>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</si>
  <si>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</si>
  <si>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</si>
  <si>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</si>
  <si>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</si>
  <si>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</si>
  <si>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</si>
  <si>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</si>
  <si>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</si>
  <si>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</si>
  <si>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</si>
  <si>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</si>
  <si>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</si>
  <si>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</si>
  <si>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</si>
  <si>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</si>
  <si>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</si>
  <si>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</si>
  <si>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</si>
  <si>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</si>
  <si>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</si>
  <si>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</si>
  <si>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</si>
  <si>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</si>
  <si>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</si>
  <si>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</si>
  <si>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</si>
  <si>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</si>
  <si>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</si>
  <si>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</si>
  <si>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</si>
  <si>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</si>
  <si>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</si>
  <si>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</si>
  <si>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</si>
  <si>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</si>
  <si>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</si>
  <si>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</si>
  <si>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</si>
  <si>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</si>
  <si>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</si>
  <si>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</si>
  <si>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</si>
  <si>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</si>
  <si>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</si>
  <si>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</si>
  <si>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</si>
  <si>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</si>
  <si>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</si>
  <si>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</si>
  <si>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</si>
  <si>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</si>
  <si>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</si>
  <si>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</si>
  <si>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</si>
  <si>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</si>
  <si>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</si>
  <si>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</si>
  <si>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</si>
  <si>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</si>
  <si>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</si>
  <si>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</si>
  <si>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</si>
  <si>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</si>
  <si>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</si>
  <si>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</si>
  <si>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</si>
  <si>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</si>
  <si>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</si>
  <si>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</si>
  <si>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</si>
  <si>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</si>
  <si>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</si>
  <si>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</si>
  <si>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</si>
  <si>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</si>
  <si>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</si>
  <si>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</si>
  <si>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</si>
  <si>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</si>
  <si>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</si>
  <si>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</si>
  <si>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</si>
  <si>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</si>
  <si>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</si>
  <si>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</si>
  <si>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</si>
  <si>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</si>
  <si>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</si>
  <si>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</si>
  <si>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</si>
  <si>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</si>
  <si>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</si>
  <si>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</si>
  <si>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</si>
  <si>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</si>
  <si>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</si>
  <si>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</si>
  <si>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</si>
  <si>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</si>
  <si>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</si>
  <si>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</si>
  <si>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</si>
  <si>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</si>
  <si>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</si>
  <si>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</si>
  <si>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</si>
  <si>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</si>
  <si>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</si>
  <si>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</si>
  <si>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</si>
  <si>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</si>
  <si>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</si>
  <si>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</si>
  <si>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</si>
  <si>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</si>
  <si>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</si>
  <si>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</si>
  <si>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</si>
  <si>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</si>
  <si>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</si>
  <si>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</si>
  <si>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</si>
  <si>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</si>
  <si>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</si>
  <si>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</si>
  <si>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</si>
  <si>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</si>
  <si>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</si>
  <si>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</si>
  <si>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</si>
  <si>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</si>
  <si>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</si>
  <si>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</si>
  <si>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</si>
  <si>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</si>
  <si>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</si>
  <si>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</si>
  <si>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</si>
  <si>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</si>
  <si>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</si>
  <si>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</si>
  <si>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</si>
  <si>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</si>
  <si>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</si>
  <si>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</si>
  <si>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</si>
  <si>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</si>
  <si>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</si>
  <si>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</si>
  <si>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</si>
  <si>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</si>
  <si>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</si>
  <si>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</si>
  <si>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</si>
  <si>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</si>
  <si>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</si>
  <si>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</si>
  <si>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</si>
  <si>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</si>
  <si>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</si>
  <si>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</si>
  <si>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</si>
  <si>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</si>
  <si>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</si>
  <si>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</si>
  <si>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</si>
  <si>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</si>
  <si>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</si>
  <si>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</si>
  <si>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</si>
  <si>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</si>
  <si>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</si>
  <si>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</si>
  <si>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</si>
  <si>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</si>
  <si>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</si>
  <si>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</si>
  <si>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</si>
  <si>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</si>
  <si>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</si>
  <si>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</si>
  <si>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</si>
  <si>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</si>
  <si>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</si>
  <si>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</si>
  <si>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</si>
  <si>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</si>
  <si>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</si>
  <si>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</si>
  <si>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</si>
  <si>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</si>
  <si>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</si>
  <si>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</si>
  <si>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</si>
  <si>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</si>
  <si>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</si>
  <si>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</si>
  <si>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</si>
  <si>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</si>
  <si>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</si>
  <si>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</si>
  <si>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</si>
  <si>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</si>
  <si>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</si>
  <si>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</si>
  <si>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</si>
  <si>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</si>
  <si>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</si>
  <si>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</si>
  <si>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</si>
  <si>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</si>
  <si>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</si>
  <si>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</si>
  <si>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</si>
  <si>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</si>
  <si>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</si>
  <si>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</si>
  <si>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</si>
  <si>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</si>
  <si>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</si>
  <si>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</si>
  <si>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</si>
  <si>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</si>
  <si>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</si>
  <si>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</si>
  <si>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</si>
  <si>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</si>
  <si>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</si>
  <si>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</si>
  <si>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</si>
  <si>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</si>
  <si>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</si>
  <si>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</si>
  <si>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</si>
  <si>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</si>
  <si>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</si>
  <si>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</si>
  <si>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</si>
  <si>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</si>
  <si>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</si>
  <si>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</si>
  <si>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</si>
  <si>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</si>
  <si>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</si>
  <si>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</si>
  <si>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</si>
  <si>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</si>
  <si>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</si>
  <si>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</si>
  <si>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</si>
  <si>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</si>
  <si>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</si>
  <si>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</si>
  <si>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</si>
  <si>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</si>
  <si>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</si>
  <si>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</si>
  <si>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</si>
  <si>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</si>
  <si>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</si>
  <si>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</si>
  <si>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</si>
  <si>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</si>
  <si>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</si>
  <si>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</si>
  <si>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</si>
  <si>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</si>
  <si>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</si>
  <si>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</si>
  <si>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</si>
  <si>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</si>
  <si>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</si>
  <si>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</si>
  <si>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</si>
  <si>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</si>
  <si>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</si>
  <si>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</si>
  <si>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</si>
  <si>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</si>
  <si>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</si>
  <si>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</si>
  <si>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</si>
  <si>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</si>
  <si>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</si>
  <si>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</si>
  <si>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</si>
  <si>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</si>
  <si>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</si>
  <si>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</si>
  <si>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</si>
  <si>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</si>
  <si>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</si>
  <si>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</si>
  <si>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</si>
  <si>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</si>
  <si>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</si>
  <si>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</si>
  <si>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</si>
  <si>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</si>
  <si>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</si>
  <si>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</si>
  <si>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</si>
  <si>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</si>
  <si>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</si>
  <si>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</si>
  <si>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</si>
  <si>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</si>
  <si>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</si>
  <si>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</si>
  <si>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</si>
  <si>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</si>
  <si>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</si>
  <si>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</si>
  <si>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</si>
  <si>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</si>
  <si>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</si>
  <si>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</si>
  <si>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</si>
  <si>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</si>
  <si>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</si>
  <si>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</si>
  <si>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</si>
  <si>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</si>
  <si>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</si>
  <si>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</si>
  <si>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</si>
  <si>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</si>
  <si>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</si>
  <si>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</si>
  <si>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</si>
  <si>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</si>
  <si>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</si>
  <si>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</si>
  <si>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</si>
  <si>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</si>
  <si>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</si>
  <si>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</si>
  <si>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</si>
  <si>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</si>
  <si>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</si>
  <si>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</si>
  <si>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</si>
  <si>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</si>
  <si>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</si>
  <si>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</si>
  <si>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</si>
  <si>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</si>
  <si>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</si>
  <si>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</si>
  <si>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</si>
  <si>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</si>
  <si>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</si>
  <si>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</si>
  <si>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</si>
  <si>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</si>
  <si>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</si>
  <si>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</si>
  <si>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</si>
  <si>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</si>
  <si>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</si>
  <si>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</si>
  <si>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</si>
  <si>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</si>
  <si>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</si>
  <si>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</si>
  <si>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</si>
  <si>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</si>
  <si>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</si>
  <si>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</si>
  <si>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</si>
  <si>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</si>
  <si>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</si>
  <si>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</si>
  <si>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</si>
  <si>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</si>
  <si>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</si>
  <si>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</si>
  <si>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</si>
  <si>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</si>
  <si>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</si>
  <si>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</si>
  <si>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</si>
  <si>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</si>
  <si>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</si>
  <si>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</si>
  <si>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</si>
  <si>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</si>
  <si>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</si>
  <si>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</si>
  <si>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</si>
  <si>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</si>
  <si>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</si>
  <si>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</si>
  <si>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</si>
  <si>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</si>
  <si>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</si>
  <si>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</si>
  <si>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</si>
  <si>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</si>
  <si>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</si>
  <si>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</si>
  <si>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</si>
  <si>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</si>
  <si>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</si>
  <si>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</si>
  <si>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</si>
  <si>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</si>
  <si>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</si>
  <si>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</si>
  <si>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</si>
  <si>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</si>
  <si>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</si>
  <si>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</si>
  <si>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</si>
  <si>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</si>
  <si>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</si>
  <si>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</si>
  <si>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</si>
  <si>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</si>
  <si>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</si>
  <si>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</si>
  <si>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</si>
  <si>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</si>
  <si>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</si>
  <si>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</si>
  <si>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</si>
  <si>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</si>
  <si>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</si>
  <si>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</si>
  <si>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</si>
  <si>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</si>
  <si>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</si>
  <si>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</si>
  <si>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</si>
  <si>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</si>
  <si>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</si>
  <si>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</si>
  <si>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</si>
  <si>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</si>
  <si>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</si>
  <si>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</si>
  <si>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</si>
  <si>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</si>
  <si>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</si>
  <si>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</si>
  <si>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</si>
  <si>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</si>
  <si>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</si>
  <si>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</si>
  <si>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</si>
  <si>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</si>
  <si>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</si>
  <si>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</si>
  <si>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</si>
  <si>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</si>
  <si>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</si>
  <si>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</si>
  <si>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</si>
  <si>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</si>
  <si>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</si>
  <si>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</si>
  <si>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</si>
  <si>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</si>
  <si>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</si>
  <si>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</si>
  <si>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</si>
  <si>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</si>
  <si>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</si>
  <si>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</si>
  <si>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</si>
  <si>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</si>
  <si>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</si>
  <si>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</si>
  <si>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</si>
  <si>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</si>
  <si>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</si>
  <si>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</si>
  <si>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</si>
  <si>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</si>
  <si>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</si>
  <si>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</si>
  <si>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</si>
  <si>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</si>
  <si>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</si>
  <si>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</si>
  <si>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</si>
  <si>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</si>
  <si>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</si>
  <si>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</si>
  <si>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</si>
  <si>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</si>
  <si>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</si>
  <si>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</si>
  <si>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</si>
  <si>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</si>
  <si>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</si>
  <si>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</si>
  <si>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</si>
  <si>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</si>
  <si>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</si>
  <si>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</si>
  <si>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</si>
  <si>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</si>
  <si>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</si>
  <si>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</si>
  <si>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</si>
  <si>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</si>
  <si>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</si>
  <si>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</si>
  <si>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</si>
  <si>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</si>
  <si>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</si>
  <si>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</si>
  <si>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</si>
  <si>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</si>
  <si>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</si>
  <si>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</si>
  <si>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</si>
  <si>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</si>
  <si>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</si>
  <si>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</si>
  <si>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</si>
  <si>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</si>
  <si>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</si>
  <si>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</si>
  <si>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</si>
  <si>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</si>
  <si>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</si>
  <si>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</si>
  <si>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</si>
  <si>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</si>
  <si>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</si>
  <si>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</si>
  <si>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</si>
  <si>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</si>
  <si>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</si>
  <si>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</si>
  <si>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</si>
  <si>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</si>
  <si>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</si>
  <si>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</si>
  <si>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</si>
  <si>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</si>
  <si>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</si>
  <si>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</si>
  <si>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</si>
  <si>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</si>
  <si>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</si>
  <si>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</si>
  <si>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</si>
  <si>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</si>
  <si>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</si>
  <si>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</si>
  <si>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</si>
  <si>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</si>
  <si>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</si>
  <si>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</si>
  <si>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 </t>
  </si>
  <si>
    <t>към 30.06.2016г.</t>
  </si>
  <si>
    <t>Дата на съставяне: 28.07.2016г.</t>
  </si>
  <si>
    <t>28.07.2016г.</t>
  </si>
  <si>
    <t xml:space="preserve">Дата на съставяне:      28.07.2016г.                        </t>
  </si>
  <si>
    <t xml:space="preserve">Дата  на съставяне: 28.07.2016г.                                                                                                               </t>
  </si>
  <si>
    <t xml:space="preserve">Дата на съставяне: 28.07.2016г.                    </t>
  </si>
  <si>
    <t>СОФИЙСКА ВОДА АД</t>
  </si>
  <si>
    <t>консолидиран</t>
  </si>
  <si>
    <t>Съставител: Анелия Илиева</t>
  </si>
  <si>
    <t>Ръководител: Арно Филип Франсоа Валто де Мулиак</t>
  </si>
  <si>
    <t>Анелия Илиева</t>
  </si>
  <si>
    <t>Арно Филип Франсоа Валто де Мулиак</t>
  </si>
  <si>
    <t>1. УОТЪР ИНДЪСТРИ СЪПОРТ ЕНД ЕДЮКЕЙШЪН ЕООД</t>
  </si>
  <si>
    <t xml:space="preserve">3. </t>
  </si>
  <si>
    <t xml:space="preserve">                                    Съставител: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</si>
</sst>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lv.&quot;;\-#,##0\ &quot;lv.&quot;"/>
    <numFmt numFmtId="165" formatCode="#,##0\ &quot;lv.&quot;;[Red]\-#,##0\ &quot;lv.&quot;"/>
    <numFmt numFmtId="166" formatCode="#,##0.00\ &quot;lv.&quot;;\-#,##0.00\ &quot;lv.&quot;"/>
    <numFmt numFmtId="167" formatCode="#,##0.00\ &quot;lv.&quot;;[Red]\-#,##0.00\ &quot;lv.&quot;"/>
    <numFmt numFmtId="168" formatCode="_-* #,##0\ &quot;lv.&quot;_-;\-* #,##0\ &quot;lv.&quot;_-;_-* &quot;-&quot;\ &quot;lv.&quot;_-;_-@_-"/>
    <numFmt numFmtId="169" formatCode="_-* #,##0\ _l_v_._-;\-* #,##0\ _l_v_._-;_-* &quot;-&quot;\ _l_v_._-;_-@_-"/>
    <numFmt numFmtId="170" formatCode="_-* #,##0.00\ &quot;lv.&quot;_-;\-* #,##0.00\ &quot;lv.&quot;_-;_-* &quot;-&quot;??\ &quot;lv.&quot;_-;_-@_-"/>
    <numFmt numFmtId="171" formatCode="_-* #,##0.00\ _l_v_._-;\-* #,##0.00\ _l_v_._-;_-* &quot;-&quot;??\ _l_v_._-;_-@_-"/>
    <numFmt numFmtId="172" formatCode="#,##0\ &quot;lv&quot;;\-#,##0\ &quot;lv&quot;"/>
    <numFmt numFmtId="173" formatCode="#,##0\ &quot;lv&quot;;[Red]\-#,##0\ &quot;lv&quot;"/>
    <numFmt numFmtId="174" formatCode="#,##0.00\ &quot;lv&quot;;\-#,##0.00\ &quot;lv&quot;"/>
    <numFmt numFmtId="175" formatCode="#,##0.00\ &quot;lv&quot;;[Red]\-#,##0.00\ &quot;lv&quot;"/>
    <numFmt numFmtId="176" formatCode="_-* #,##0\ &quot;lv&quot;_-;\-* #,##0\ &quot;lv&quot;_-;_-* &quot;-&quot;\ &quot;lv&quot;_-;_-@_-"/>
    <numFmt numFmtId="177" formatCode="_-* #,##0\ _l_v_-;\-* #,##0\ _l_v_-;_-* &quot;-&quot;\ _l_v_-;_-@_-"/>
    <numFmt numFmtId="178" formatCode="_-* #,##0.00\ &quot;lv&quot;_-;\-* #,##0.00\ &quot;lv&quot;_-;_-* &quot;-&quot;??\ &quot;lv&quot;_-;_-@_-"/>
    <numFmt numFmtId="179" formatCode="_-* #,##0.00\ _l_v_-;\-* #,##0.00\ _l_v_-;_-* &quot;-&quot;??\ _l_v_-;_-@_-"/>
    <numFmt numFmtId="180" formatCode="_-* #,##0.00\ &quot;лв&quot;_-;\-* #,##0.00\ &quot;лв&quot;_-;_-* &quot;-&quot;??\ &quot;лв&quot;_-;_-@_-"/>
    <numFmt numFmtId="181" formatCode="d/m/yyyy&quot; &quot;&quot;г.&quot;;@"/>
    <numFmt numFmtId="182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8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2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10" xfId="58" applyFont="1" applyBorder="1" applyAlignment="1">
      <alignment horizontal="left" vertical="center" wrapText="1"/>
      <protection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1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2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2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2" fontId="9" fillId="0" borderId="0" xfId="59" applyNumberFormat="1" applyFont="1" applyBorder="1" applyAlignment="1" applyProtection="1">
      <alignment horizontal="center" vertical="justify" wrapText="1"/>
      <protection/>
    </xf>
    <xf numFmtId="182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2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2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  <xf numFmtId="1" fontId="6" fillId="0" borderId="0" xfId="61" applyNumberFormat="1" applyFont="1" applyBorder="1" applyAlignment="1" applyProtection="1">
      <alignment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Trial%20Balance_0616_imte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Trial%20Balance_0615_inte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Conso_Interim_Cash%20flow%2006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Consolidation_062016_inter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Consolidation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Trial%20Balance_Y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3">
        <row r="319">
          <cell r="G319">
            <v>32944.44</v>
          </cell>
        </row>
        <row r="359">
          <cell r="G359">
            <v>145361.63</v>
          </cell>
        </row>
      </sheetData>
      <sheetData sheetId="7">
        <row r="102">
          <cell r="D102">
            <v>145.36162999999988</v>
          </cell>
          <cell r="E102">
            <v>-44.561629999999994</v>
          </cell>
        </row>
      </sheetData>
      <sheetData sheetId="9">
        <row r="5">
          <cell r="G5">
            <v>3929218.4340199167</v>
          </cell>
        </row>
        <row r="12">
          <cell r="G12">
            <v>4858340.436267386</v>
          </cell>
        </row>
        <row r="20">
          <cell r="G20">
            <v>71383057.62514868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BS"/>
      <sheetName val="FInst, loans"/>
      <sheetName val="loans_short_long"/>
      <sheetName val="loans"/>
      <sheetName val="WP_2015_June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</sheetNames>
    <sheetDataSet>
      <sheetData sheetId="3">
        <row r="319">
          <cell r="G319">
            <v>28999.98</v>
          </cell>
        </row>
        <row r="359">
          <cell r="G359">
            <v>35915.96999999974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6"/>
      <sheetName val="CF_SV2016"/>
      <sheetName val="CF_WISE2016"/>
      <sheetName val="adjustment"/>
    </sheetNames>
    <sheetDataSet>
      <sheetData sheetId="0">
        <row r="15">
          <cell r="O15">
            <v>-1190.97479</v>
          </cell>
          <cell r="Q15">
            <v>-1130.476216183333</v>
          </cell>
        </row>
        <row r="16">
          <cell r="O16">
            <v>-7615.154933333336</v>
          </cell>
          <cell r="Q16">
            <v>-6598.668760000001</v>
          </cell>
        </row>
        <row r="17">
          <cell r="O17">
            <v>-1010.0914600000001</v>
          </cell>
          <cell r="Q17">
            <v>-1291.4827700000003</v>
          </cell>
        </row>
        <row r="18">
          <cell r="O18">
            <v>0</v>
          </cell>
          <cell r="Q18">
            <v>-1496.20995</v>
          </cell>
        </row>
        <row r="19">
          <cell r="O19">
            <v>-865.3399916666668</v>
          </cell>
          <cell r="Q19">
            <v>-754.0223083333334</v>
          </cell>
        </row>
        <row r="20">
          <cell r="O20">
            <v>-134.39020000000002</v>
          </cell>
          <cell r="Q20">
            <v>-132.97131</v>
          </cell>
        </row>
        <row r="21">
          <cell r="O21">
            <v>-2316.0258433333374</v>
          </cell>
          <cell r="Q21">
            <v>-2384.897116666667</v>
          </cell>
        </row>
        <row r="22">
          <cell r="O22">
            <v>-2514.536701666667</v>
          </cell>
          <cell r="Q22">
            <v>-2253.2255645699965</v>
          </cell>
        </row>
        <row r="30">
          <cell r="O30">
            <v>-11498.170244</v>
          </cell>
          <cell r="Q30">
            <v>-10876.112625999998</v>
          </cell>
        </row>
        <row r="34">
          <cell r="O34">
            <v>-12388.439183999999</v>
          </cell>
          <cell r="Q34">
            <v>-13024.622663999995</v>
          </cell>
        </row>
        <row r="36">
          <cell r="O36">
            <v>-2288.83841</v>
          </cell>
          <cell r="Q36">
            <v>-1089.45942</v>
          </cell>
        </row>
        <row r="37">
          <cell r="O37">
            <v>-6134.3873699999995</v>
          </cell>
          <cell r="Q37">
            <v>-6741.10016</v>
          </cell>
        </row>
        <row r="38">
          <cell r="O38">
            <v>-92.96686999999999</v>
          </cell>
          <cell r="Q38">
            <v>-83.65688000000002</v>
          </cell>
        </row>
        <row r="41">
          <cell r="O41">
            <v>-317.29373</v>
          </cell>
          <cell r="Q41">
            <v>-423.03854</v>
          </cell>
        </row>
        <row r="42">
          <cell r="O42">
            <v>-2109.94027</v>
          </cell>
          <cell r="Q42">
            <v>-2163.9425899999997</v>
          </cell>
        </row>
        <row r="43">
          <cell r="O43">
            <v>71.57596</v>
          </cell>
          <cell r="Q43">
            <v>51.501490000000004</v>
          </cell>
        </row>
        <row r="44">
          <cell r="O44">
            <v>-772.59937</v>
          </cell>
          <cell r="Q44">
            <v>-729.9720599999998</v>
          </cell>
        </row>
        <row r="47">
          <cell r="O47">
            <v>-4531.658109999999</v>
          </cell>
          <cell r="Q47">
            <v>-4531.658109999999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  <sheetName val="Sheet6"/>
    </sheetNames>
    <sheetDataSet>
      <sheetData sheetId="1">
        <row r="43">
          <cell r="X43">
            <v>-1325</v>
          </cell>
        </row>
        <row r="50">
          <cell r="X50">
            <v>0</v>
          </cell>
        </row>
        <row r="72">
          <cell r="X72">
            <v>-161033</v>
          </cell>
        </row>
      </sheetData>
      <sheetData sheetId="3">
        <row r="9">
          <cell r="I9">
            <v>278712</v>
          </cell>
        </row>
        <row r="15">
          <cell r="I15">
            <v>6350</v>
          </cell>
        </row>
        <row r="29">
          <cell r="I29">
            <v>8884</v>
          </cell>
        </row>
        <row r="31">
          <cell r="I31">
            <v>-222</v>
          </cell>
        </row>
        <row r="36">
          <cell r="I36">
            <v>31375</v>
          </cell>
        </row>
        <row r="37">
          <cell r="I37">
            <v>906</v>
          </cell>
        </row>
        <row r="39">
          <cell r="I39">
            <v>798</v>
          </cell>
        </row>
        <row r="40">
          <cell r="I40">
            <v>1816</v>
          </cell>
        </row>
        <row r="41">
          <cell r="I41">
            <v>8271</v>
          </cell>
        </row>
        <row r="42">
          <cell r="I42">
            <v>2987</v>
          </cell>
        </row>
        <row r="47">
          <cell r="I47">
            <v>1156</v>
          </cell>
        </row>
        <row r="50">
          <cell r="I50">
            <v>5415</v>
          </cell>
        </row>
      </sheetData>
      <sheetData sheetId="15">
        <row r="31">
          <cell r="G31">
            <v>34061</v>
          </cell>
        </row>
        <row r="35">
          <cell r="G35">
            <v>1554</v>
          </cell>
        </row>
      </sheetData>
      <sheetData sheetId="16">
        <row r="5">
          <cell r="E5">
            <v>44.804050000000004</v>
          </cell>
        </row>
        <row r="6">
          <cell r="E6">
            <v>18.99747</v>
          </cell>
        </row>
        <row r="8">
          <cell r="E8">
            <v>20655</v>
          </cell>
        </row>
        <row r="9">
          <cell r="E9">
            <v>170</v>
          </cell>
        </row>
      </sheetData>
      <sheetData sheetId="17">
        <row r="31">
          <cell r="D31">
            <v>15224</v>
          </cell>
        </row>
        <row r="39">
          <cell r="D39">
            <v>2233</v>
          </cell>
        </row>
        <row r="40">
          <cell r="D40">
            <v>640</v>
          </cell>
        </row>
        <row r="41">
          <cell r="D41">
            <v>1325</v>
          </cell>
        </row>
        <row r="45">
          <cell r="D45">
            <v>7235.518361750947</v>
          </cell>
        </row>
        <row r="49">
          <cell r="D49">
            <v>6701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</sheetNames>
    <sheetDataSet>
      <sheetData sheetId="1">
        <row r="72">
          <cell r="X72">
            <v>-138637</v>
          </cell>
        </row>
        <row r="73">
          <cell r="X73">
            <v>-22396</v>
          </cell>
        </row>
      </sheetData>
      <sheetData sheetId="3">
        <row r="31">
          <cell r="I31">
            <v>-222</v>
          </cell>
        </row>
        <row r="36">
          <cell r="I36">
            <v>35793</v>
          </cell>
        </row>
        <row r="37">
          <cell r="I37">
            <v>1469</v>
          </cell>
        </row>
        <row r="47">
          <cell r="I47">
            <v>1178</v>
          </cell>
        </row>
        <row r="51">
          <cell r="I51">
            <v>4665</v>
          </cell>
        </row>
        <row r="54">
          <cell r="I54">
            <v>5973</v>
          </cell>
        </row>
        <row r="55">
          <cell r="I55">
            <v>469</v>
          </cell>
        </row>
      </sheetData>
      <sheetData sheetId="16">
        <row r="5">
          <cell r="E5">
            <v>81.44879</v>
          </cell>
        </row>
        <row r="6">
          <cell r="E6">
            <v>15.99747</v>
          </cell>
        </row>
        <row r="8">
          <cell r="E8">
            <v>16499</v>
          </cell>
        </row>
        <row r="9">
          <cell r="E9">
            <v>407</v>
          </cell>
        </row>
      </sheetData>
      <sheetData sheetId="17">
        <row r="31">
          <cell r="D31">
            <v>18146</v>
          </cell>
        </row>
        <row r="39">
          <cell r="D39">
            <v>3573</v>
          </cell>
        </row>
        <row r="40">
          <cell r="D40">
            <v>596</v>
          </cell>
        </row>
        <row r="41">
          <cell r="D41">
            <v>1144</v>
          </cell>
        </row>
        <row r="45">
          <cell r="D45">
            <v>6970.2585796960475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5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</sheetNames>
    <sheetDataSet>
      <sheetData sheetId="28">
        <row r="5">
          <cell r="G5">
            <v>3919062.2854331597</v>
          </cell>
        </row>
        <row r="12">
          <cell r="G12">
            <v>4844531.967589778</v>
          </cell>
        </row>
        <row r="20">
          <cell r="G20">
            <v>71313371.46509053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88">
      <selection activeCell="C96" sqref="C96:H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130175000</v>
      </c>
    </row>
    <row r="4" spans="1:8" ht="15">
      <c r="A4" s="578" t="s">
        <v>3</v>
      </c>
      <c r="B4" s="584"/>
      <c r="C4" s="584"/>
      <c r="D4" s="584"/>
      <c r="E4" s="504" t="s">
        <v>866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'справка №5'!R9</f>
        <v>185</v>
      </c>
      <c r="D11" s="151">
        <v>185</v>
      </c>
      <c r="E11" s="237" t="s">
        <v>22</v>
      </c>
      <c r="F11" s="242" t="s">
        <v>23</v>
      </c>
      <c r="G11" s="152">
        <f>'[4]BS'!$I$29</f>
        <v>8884</v>
      </c>
      <c r="H11" s="152">
        <v>8884</v>
      </c>
    </row>
    <row r="12" spans="1:8" ht="15">
      <c r="A12" s="235" t="s">
        <v>24</v>
      </c>
      <c r="B12" s="241" t="s">
        <v>25</v>
      </c>
      <c r="C12" s="151">
        <f>'справка №5'!R10</f>
        <v>340</v>
      </c>
      <c r="D12" s="151">
        <v>350</v>
      </c>
      <c r="E12" s="237" t="s">
        <v>26</v>
      </c>
      <c r="F12" s="242" t="s">
        <v>27</v>
      </c>
      <c r="G12" s="153">
        <f>G11</f>
        <v>8884</v>
      </c>
      <c r="H12" s="153">
        <f>H11</f>
        <v>8884</v>
      </c>
    </row>
    <row r="13" spans="1:8" ht="15">
      <c r="A13" s="235" t="s">
        <v>28</v>
      </c>
      <c r="B13" s="241" t="s">
        <v>29</v>
      </c>
      <c r="C13" s="151">
        <f>'справка №5'!R11</f>
        <v>9565</v>
      </c>
      <c r="D13" s="151">
        <v>10453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f>'справка №5'!R12</f>
        <v>0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'справка №5'!R13</f>
        <v>4610</v>
      </c>
      <c r="D15" s="151">
        <v>5149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8884</v>
      </c>
      <c r="H17" s="154">
        <f>H11+H14+H15+H16</f>
        <v>8884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'справка №5'!R16</f>
        <v>132</v>
      </c>
      <c r="D18" s="151">
        <v>137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14832</v>
      </c>
      <c r="D19" s="155">
        <f>SUM(D11:D18)</f>
        <v>16274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'[4]BS'!$I$31</f>
        <v>-222</v>
      </c>
      <c r="H20" s="158">
        <f>'[5]BS'!$I$31</f>
        <v>-222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10774</v>
      </c>
      <c r="H21" s="156">
        <f>SUM(H22:H24)</f>
        <v>10774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10774</v>
      </c>
      <c r="H22" s="152">
        <v>10774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10552</v>
      </c>
      <c r="H25" s="154">
        <f>H19+H20+H21</f>
        <v>10552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f>'[4]BS'!$I$9</f>
        <v>278712</v>
      </c>
      <c r="D26" s="151">
        <v>279016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278712</v>
      </c>
      <c r="D27" s="155">
        <f>SUM(D23:D26)</f>
        <v>279016</v>
      </c>
      <c r="E27" s="253" t="s">
        <v>83</v>
      </c>
      <c r="F27" s="242" t="s">
        <v>84</v>
      </c>
      <c r="G27" s="154">
        <f>SUM(G28:G30)</f>
        <v>161036</v>
      </c>
      <c r="H27" s="154">
        <f>SUM(H28:H30)</f>
        <v>138640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-'[4]Consolidation_PL_BS'!$X$72+3</f>
        <v>161036</v>
      </c>
      <c r="H28" s="152">
        <f>-'[5]Consolidation_PL_BS'!$X$72+3</f>
        <v>138640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11225</v>
      </c>
      <c r="H31" s="152">
        <f>-'[5]Consolidation_PL_BS'!$X$73</f>
        <v>22396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172261</v>
      </c>
      <c r="H33" s="154">
        <f>H27+H31+H32</f>
        <v>161036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191697</v>
      </c>
      <c r="H36" s="154">
        <f>H25+H17+H33</f>
        <v>180472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'[4]BS'!$I$36+'[4]BS'!$I$37</f>
        <v>32281</v>
      </c>
      <c r="H44" s="152">
        <f>'[5]BS'!$I$36+'[5]BS'!$I$37</f>
        <v>37262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'[4]BS'!$I$39+'[4]BS'!$I$40+'[4]BS'!$I$41+'[4]BS'!$I$42</f>
        <v>13872</v>
      </c>
      <c r="H48" s="152">
        <v>13191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46153</v>
      </c>
      <c r="H49" s="154">
        <f>SUM(H43:H48)</f>
        <v>50453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f>'[4]BS'!$I$15</f>
        <v>6350</v>
      </c>
      <c r="D54" s="151">
        <v>6186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299894</v>
      </c>
      <c r="D55" s="155">
        <f>D19+D20+D21+D27+D32+D45+D51+D53+D54</f>
        <v>301476</v>
      </c>
      <c r="E55" s="237" t="s">
        <v>172</v>
      </c>
      <c r="F55" s="261" t="s">
        <v>173</v>
      </c>
      <c r="G55" s="154">
        <f>G49+G51+G52+G53+G54</f>
        <v>46153</v>
      </c>
      <c r="H55" s="154">
        <f>H49+H51+H52+H53+H54</f>
        <v>50453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1506</v>
      </c>
      <c r="D58" s="151">
        <v>1346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'[4]BS'!$I$47+'[1]loans_short_long'!$G$12/1000+'[1]loans_short_long'!$G$5/1000</f>
        <v>9943.558870287303</v>
      </c>
      <c r="H59" s="152">
        <f>'[5]BS'!$I$47+'[6]loans_short_long'!$G$12/1000+'[6]loans_short_long'!$G$5/1000</f>
        <v>9941.594253022937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96220.05762514868</v>
      </c>
      <c r="H61" s="154">
        <f>SUM(H62:H68)</f>
        <v>99436.37146509053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'[4]BS'!$I$50</f>
        <v>5415</v>
      </c>
      <c r="H62" s="152">
        <f>'[5]BS'!$I$51</f>
        <v>4665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'[1]loans_short_long'!$G$20/1000</f>
        <v>71383.05762514868</v>
      </c>
      <c r="H63" s="152">
        <f>'[6]loans_short_long'!$G$20/1000</f>
        <v>71313.37146509053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1506</v>
      </c>
      <c r="D64" s="155">
        <f>SUM(D58:D63)</f>
        <v>1346</v>
      </c>
      <c r="E64" s="237" t="s">
        <v>200</v>
      </c>
      <c r="F64" s="242" t="s">
        <v>201</v>
      </c>
      <c r="G64" s="152">
        <f>'[4]17'!$D$31</f>
        <v>15224</v>
      </c>
      <c r="H64" s="152">
        <f>'[5]17'!$D$31-1</f>
        <v>18145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'[4]17'!$D$39</f>
        <v>2233</v>
      </c>
      <c r="H66" s="152">
        <f>'[5]17'!$D$39</f>
        <v>3573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f>'[4]17'!$D$40</f>
        <v>640</v>
      </c>
      <c r="H67" s="152">
        <f>'[5]17'!$D$40</f>
        <v>596</v>
      </c>
    </row>
    <row r="68" spans="1:8" ht="15">
      <c r="A68" s="235" t="s">
        <v>211</v>
      </c>
      <c r="B68" s="241" t="s">
        <v>212</v>
      </c>
      <c r="C68" s="151">
        <f>'[4]12'!$G$31</f>
        <v>34061</v>
      </c>
      <c r="D68" s="151">
        <v>32108</v>
      </c>
      <c r="E68" s="237" t="s">
        <v>213</v>
      </c>
      <c r="F68" s="242" t="s">
        <v>214</v>
      </c>
      <c r="G68" s="152">
        <f>'[4]17'!$D$41</f>
        <v>1325</v>
      </c>
      <c r="H68" s="152">
        <f>'[5]17'!$D$41</f>
        <v>1144</v>
      </c>
    </row>
    <row r="69" spans="1:8" ht="15">
      <c r="A69" s="235" t="s">
        <v>215</v>
      </c>
      <c r="B69" s="241" t="s">
        <v>216</v>
      </c>
      <c r="C69" s="151">
        <f>'[4]12'!$G$35</f>
        <v>1554</v>
      </c>
      <c r="D69" s="151">
        <v>1783</v>
      </c>
      <c r="E69" s="251" t="s">
        <v>78</v>
      </c>
      <c r="F69" s="242" t="s">
        <v>217</v>
      </c>
      <c r="G69" s="152">
        <f>'[4]17'!$D$45-3</f>
        <v>7232.518361750947</v>
      </c>
      <c r="H69" s="152">
        <f>'[5]17'!$D$45</f>
        <v>6970.2585796960475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f>'[4]17'!$D$49</f>
        <v>6701</v>
      </c>
      <c r="H70" s="152">
        <f>'[5]BS'!$I$55+'[5]BS'!$I$54</f>
        <v>6442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120097.13485718693</v>
      </c>
      <c r="H71" s="161">
        <f>H59+H60+H61+H69+H70</f>
        <v>122790.22429780952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35657</v>
      </c>
      <c r="D75" s="155">
        <f>SUM(D67:D74)</f>
        <v>33891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120097.13485718693</v>
      </c>
      <c r="H79" s="162">
        <f>H71+H74+H75+H76</f>
        <v>122790.22429780952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'[4]13'!$E$5+'[4]13'!$E$6</f>
        <v>63.801520000000004</v>
      </c>
      <c r="D87" s="151">
        <f>'[5]13'!$E$5+'[5]13'!$E$6-1</f>
        <v>96.44626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'[4]13'!$E$8+'[4]13'!$E$9+1</f>
        <v>20826</v>
      </c>
      <c r="D88" s="151">
        <f>'[5]13'!$E$8+'[5]13'!$E$9</f>
        <v>16906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20889.80152</v>
      </c>
      <c r="D91" s="155">
        <f>SUM(D87:D90)</f>
        <v>17002.44626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58052.80152</v>
      </c>
      <c r="D93" s="155">
        <f>D64+D75+D84+D91+D92</f>
        <v>52239.44626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357946.80152</v>
      </c>
      <c r="D94" s="164">
        <f>D93+D55</f>
        <v>353715.44626</v>
      </c>
      <c r="E94" s="449" t="s">
        <v>270</v>
      </c>
      <c r="F94" s="289" t="s">
        <v>271</v>
      </c>
      <c r="G94" s="165">
        <f>G36+G39+G55+G79</f>
        <v>357947.13485718693</v>
      </c>
      <c r="H94" s="165">
        <f>H36+H39+H55+H79</f>
        <v>353715.22429780953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632"/>
      <c r="D97" s="632"/>
      <c r="E97" s="433"/>
      <c r="F97" s="170"/>
      <c r="G97" s="577"/>
      <c r="H97" s="577"/>
      <c r="M97" s="157"/>
    </row>
    <row r="98" spans="1:13" ht="15">
      <c r="A98" s="45" t="s">
        <v>860</v>
      </c>
      <c r="B98" s="432"/>
      <c r="C98" s="582" t="s">
        <v>867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868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D50" sqref="D50:H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СОФИЙСКА ВОДА АД</v>
      </c>
      <c r="C2" s="586"/>
      <c r="D2" s="586"/>
      <c r="E2" s="586"/>
      <c r="F2" s="588" t="s">
        <v>2</v>
      </c>
      <c r="G2" s="588"/>
      <c r="H2" s="526">
        <f>'справка №1-БАЛАНС'!H3</f>
        <v>130175000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към 30.06.2016г.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4300</v>
      </c>
      <c r="D9" s="46">
        <v>4461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11516</v>
      </c>
      <c r="D10" s="46">
        <v>11667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15707</v>
      </c>
      <c r="D11" s="46">
        <v>14018</v>
      </c>
      <c r="E11" s="300" t="s">
        <v>292</v>
      </c>
      <c r="F11" s="549" t="s">
        <v>293</v>
      </c>
      <c r="G11" s="550">
        <v>64922</v>
      </c>
      <c r="H11" s="550">
        <v>63015</v>
      </c>
    </row>
    <row r="12" spans="1:8" ht="12">
      <c r="A12" s="298" t="s">
        <v>294</v>
      </c>
      <c r="B12" s="299" t="s">
        <v>295</v>
      </c>
      <c r="C12" s="46">
        <v>8938</v>
      </c>
      <c r="D12" s="46">
        <v>8801</v>
      </c>
      <c r="E12" s="300" t="s">
        <v>78</v>
      </c>
      <c r="F12" s="549" t="s">
        <v>296</v>
      </c>
      <c r="G12" s="550">
        <v>13385</v>
      </c>
      <c r="H12" s="550">
        <v>10873</v>
      </c>
    </row>
    <row r="13" spans="1:18" ht="12">
      <c r="A13" s="298" t="s">
        <v>297</v>
      </c>
      <c r="B13" s="299" t="s">
        <v>298</v>
      </c>
      <c r="C13" s="46">
        <v>2247</v>
      </c>
      <c r="D13" s="46">
        <v>2255</v>
      </c>
      <c r="E13" s="301" t="s">
        <v>51</v>
      </c>
      <c r="F13" s="551" t="s">
        <v>299</v>
      </c>
      <c r="G13" s="548">
        <f>SUM(G9:G12)</f>
        <v>78307</v>
      </c>
      <c r="H13" s="548">
        <f>SUM(H9:H12)</f>
        <v>73888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19751</v>
      </c>
      <c r="D16" s="47">
        <v>16674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3491</v>
      </c>
      <c r="D17" s="48">
        <v>4617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f>('[1]Sheet1'!$G$359+'[1]Sheet1'!$G$319)/1000</f>
        <v>178.30607</v>
      </c>
      <c r="D18" s="48">
        <f>('[2]Sheet1'!$G$359+'[2]Sheet1'!$G$319)/1000</f>
        <v>64.91594999999974</v>
      </c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62459</v>
      </c>
      <c r="D19" s="49">
        <f>SUM(D9:D15)+D16</f>
        <v>57876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3347</v>
      </c>
      <c r="D22" s="46">
        <v>3660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3347</v>
      </c>
      <c r="D26" s="49">
        <f>SUM(D22:D25)</f>
        <v>3660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65806</v>
      </c>
      <c r="D28" s="50">
        <f>D26+D19</f>
        <v>61536</v>
      </c>
      <c r="E28" s="127" t="s">
        <v>338</v>
      </c>
      <c r="F28" s="554" t="s">
        <v>339</v>
      </c>
      <c r="G28" s="548">
        <f>G13+G15+G24</f>
        <v>78307</v>
      </c>
      <c r="H28" s="548">
        <f>H13+H15+H24</f>
        <v>73888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12501</v>
      </c>
      <c r="D30" s="50">
        <f>IF((H28-D28)&gt;0,H28-D28,0)</f>
        <v>12352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65806</v>
      </c>
      <c r="D33" s="49">
        <f>D28-D31+D32</f>
        <v>61536</v>
      </c>
      <c r="E33" s="127" t="s">
        <v>352</v>
      </c>
      <c r="F33" s="554" t="s">
        <v>353</v>
      </c>
      <c r="G33" s="53">
        <f>G32-G31+G28</f>
        <v>78307</v>
      </c>
      <c r="H33" s="53">
        <f>H32-H31+H28</f>
        <v>73888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12501</v>
      </c>
      <c r="D34" s="50">
        <f>IF((H33-D33)&gt;0,H33-D33,0)</f>
        <v>12352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1276</v>
      </c>
      <c r="D35" s="49">
        <f>D36+D37+D38</f>
        <v>1249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1276</v>
      </c>
      <c r="D36" s="46">
        <v>1249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11225</v>
      </c>
      <c r="D39" s="460">
        <f>+IF((H33-D33-D35)&gt;0,H33-D33-D35,0)</f>
        <v>11103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11225</v>
      </c>
      <c r="D41" s="52">
        <f>IF(H39=0,IF(D39-D40&gt;0,D39-D40+H40,0),IF(H39-H40&lt;0,H40-H39+D39,0))</f>
        <v>11103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78307</v>
      </c>
      <c r="D42" s="53">
        <f>D33+D35+D39</f>
        <v>73888</v>
      </c>
      <c r="E42" s="128" t="s">
        <v>379</v>
      </c>
      <c r="F42" s="129" t="s">
        <v>380</v>
      </c>
      <c r="G42" s="53">
        <f>G39+G33</f>
        <v>78307</v>
      </c>
      <c r="H42" s="53">
        <f>H39+H33</f>
        <v>73888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861</v>
      </c>
      <c r="C48" s="427" t="s">
        <v>381</v>
      </c>
      <c r="D48" s="585" t="s">
        <v>869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870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9" sqref="D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СОФИЙСКА ВОДА АД</v>
      </c>
      <c r="C4" s="541" t="s">
        <v>2</v>
      </c>
      <c r="D4" s="541">
        <f>'справка №1-БАЛАНС'!H3</f>
        <v>130175000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30.06.2016г.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73094</v>
      </c>
      <c r="D10" s="54">
        <v>67838</v>
      </c>
      <c r="E10" s="130"/>
      <c r="F10" s="130"/>
    </row>
    <row r="11" spans="1:13" ht="12">
      <c r="A11" s="332" t="s">
        <v>388</v>
      </c>
      <c r="B11" s="333" t="s">
        <v>389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-13498</v>
      </c>
      <c r="D13" s="54">
        <v>-13608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'[3]CF_Conso_2016'!$O$37+'[3]CF_Conso_2016'!$O$38</f>
        <v>-6227.35424</v>
      </c>
      <c r="D14" s="54">
        <f>'[3]CF_Conso_2016'!$Q$37+'[3]CF_Conso_2016'!$Q$38</f>
        <v>-6824.75704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f>'[3]CF_Conso_2016'!$O$36</f>
        <v>-2288.83841</v>
      </c>
      <c r="D15" s="54">
        <f>'[3]CF_Conso_2016'!$Q$36</f>
        <v>-1089.45942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SUM('[3]CF_Conso_2016'!$O$15:$O$22)+'[3]CF_Conso_2016'!$O$30</f>
        <v>-27144.68416400001</v>
      </c>
      <c r="D19" s="54">
        <f>SUM('[3]CF_Conso_2016'!$Q$15:$Q$22)+'[3]CF_Conso_2016'!$Q$30</f>
        <v>-26918.06662175333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23935.123185999993</v>
      </c>
      <c r="D20" s="55">
        <f>SUM(D10:D19)</f>
        <v>19397.716918246675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f>'[3]CF_Conso_2016'!$O$34</f>
        <v>-12388.439183999999</v>
      </c>
      <c r="D22" s="54">
        <f>'[3]CF_Conso_2016'!$Q$34</f>
        <v>-13024.622663999995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-12388.439183999999</v>
      </c>
      <c r="D32" s="55">
        <f>SUM(D22:D31)</f>
        <v>-13024.622663999995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f>'[3]CF_Conso_2016'!$O$47</f>
        <v>-4531.658109999999</v>
      </c>
      <c r="D37" s="54">
        <f>'[3]CF_Conso_2016'!$Q$47</f>
        <v>-4531.658109999999</v>
      </c>
      <c r="E37" s="130"/>
      <c r="F37" s="130"/>
    </row>
    <row r="38" spans="1:6" ht="12">
      <c r="A38" s="332" t="s">
        <v>439</v>
      </c>
      <c r="B38" s="333" t="s">
        <v>440</v>
      </c>
      <c r="C38" s="54">
        <f>'[3]CF_Conso_2016'!$O$44</f>
        <v>-772.59937</v>
      </c>
      <c r="D38" s="54">
        <f>'[3]CF_Conso_2016'!$Q$44</f>
        <v>-729.9720599999998</v>
      </c>
      <c r="E38" s="130"/>
      <c r="F38" s="130"/>
    </row>
    <row r="39" spans="1:6" ht="12">
      <c r="A39" s="332" t="s">
        <v>441</v>
      </c>
      <c r="B39" s="333" t="s">
        <v>442</v>
      </c>
      <c r="C39" s="54">
        <f>'[3]CF_Conso_2016'!$O$41+'[3]CF_Conso_2016'!$O$42</f>
        <v>-2427.234</v>
      </c>
      <c r="D39" s="54">
        <f>'[3]CF_Conso_2016'!$Q$41+'[3]CF_Conso_2016'!$Q$42</f>
        <v>-2586.9811299999997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f>'[3]CF_Conso_2016'!$O$43</f>
        <v>71.57596</v>
      </c>
      <c r="D41" s="54">
        <f>'[3]CF_Conso_2016'!$Q$43</f>
        <v>51.501490000000004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-7659.915519999999</v>
      </c>
      <c r="D42" s="55">
        <f>SUM(D34:D41)</f>
        <v>-7797.109809999999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3886.768481999996</v>
      </c>
      <c r="D43" s="55">
        <f>D42+D32+D20</f>
        <v>-1424.015555753318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17003</v>
      </c>
      <c r="D44" s="132">
        <v>12382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20889.768481999996</v>
      </c>
      <c r="D45" s="55">
        <f>D44+D43</f>
        <v>10957.984444246682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20889.768481999996</v>
      </c>
      <c r="D46" s="56">
        <f>D45</f>
        <v>10957.984444246682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N37" sqref="N3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СОФИЙСКА ВОДА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130175000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към 30.06.2016г.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8884</v>
      </c>
      <c r="D11" s="58">
        <f>'справка №1-БАЛАНС'!H19</f>
        <v>0</v>
      </c>
      <c r="E11" s="58">
        <f>'справка №1-БАЛАНС'!H20</f>
        <v>-222</v>
      </c>
      <c r="F11" s="58">
        <f>'справка №1-БАЛАНС'!H22</f>
        <v>10774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161036</v>
      </c>
      <c r="J11" s="58">
        <f>'справка №1-БАЛАНС'!H29+'справка №1-БАЛАНС'!H32</f>
        <v>0</v>
      </c>
      <c r="K11" s="60"/>
      <c r="L11" s="344">
        <f>SUM(C11:K11)</f>
        <v>180472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8884</v>
      </c>
      <c r="D15" s="61">
        <f aca="true" t="shared" si="2" ref="D15:M15">D11+D12</f>
        <v>0</v>
      </c>
      <c r="E15" s="61">
        <f t="shared" si="2"/>
        <v>-222</v>
      </c>
      <c r="F15" s="61">
        <f t="shared" si="2"/>
        <v>10774</v>
      </c>
      <c r="G15" s="61">
        <f t="shared" si="2"/>
        <v>0</v>
      </c>
      <c r="H15" s="61">
        <f t="shared" si="2"/>
        <v>0</v>
      </c>
      <c r="I15" s="61">
        <f t="shared" si="2"/>
        <v>161036</v>
      </c>
      <c r="J15" s="61">
        <f t="shared" si="2"/>
        <v>0</v>
      </c>
      <c r="K15" s="61">
        <f t="shared" si="2"/>
        <v>0</v>
      </c>
      <c r="L15" s="344">
        <f t="shared" si="1"/>
        <v>180472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11225</v>
      </c>
      <c r="J16" s="345">
        <f>+'справка №1-БАЛАНС'!G32</f>
        <v>0</v>
      </c>
      <c r="K16" s="60"/>
      <c r="L16" s="344">
        <f t="shared" si="1"/>
        <v>11225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8884</v>
      </c>
      <c r="D29" s="59">
        <f aca="true" t="shared" si="6" ref="D29:M29">D17+D20+D21+D24+D28+D27+D15+D16</f>
        <v>0</v>
      </c>
      <c r="E29" s="59">
        <f t="shared" si="6"/>
        <v>-222</v>
      </c>
      <c r="F29" s="59">
        <f t="shared" si="6"/>
        <v>10774</v>
      </c>
      <c r="G29" s="59">
        <f t="shared" si="6"/>
        <v>0</v>
      </c>
      <c r="H29" s="59">
        <f t="shared" si="6"/>
        <v>0</v>
      </c>
      <c r="I29" s="59">
        <f t="shared" si="6"/>
        <v>172261</v>
      </c>
      <c r="J29" s="59">
        <f t="shared" si="6"/>
        <v>0</v>
      </c>
      <c r="K29" s="59">
        <f t="shared" si="6"/>
        <v>0</v>
      </c>
      <c r="L29" s="344">
        <f t="shared" si="1"/>
        <v>191697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8884</v>
      </c>
      <c r="D32" s="59">
        <f t="shared" si="7"/>
        <v>0</v>
      </c>
      <c r="E32" s="59">
        <f t="shared" si="7"/>
        <v>-222</v>
      </c>
      <c r="F32" s="59">
        <f t="shared" si="7"/>
        <v>10774</v>
      </c>
      <c r="G32" s="59">
        <f t="shared" si="7"/>
        <v>0</v>
      </c>
      <c r="H32" s="59">
        <f t="shared" si="7"/>
        <v>0</v>
      </c>
      <c r="I32" s="59">
        <f t="shared" si="7"/>
        <v>172261</v>
      </c>
      <c r="J32" s="59">
        <f t="shared" si="7"/>
        <v>0</v>
      </c>
      <c r="K32" s="59">
        <f t="shared" si="7"/>
        <v>0</v>
      </c>
      <c r="L32" s="344">
        <f t="shared" si="1"/>
        <v>191697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2" t="s">
        <v>381</v>
      </c>
      <c r="E38" s="592"/>
      <c r="F38" s="592" t="s">
        <v>869</v>
      </c>
      <c r="G38" s="592"/>
      <c r="H38" s="592"/>
      <c r="I38" s="592"/>
      <c r="J38" s="15" t="s">
        <v>858</v>
      </c>
      <c r="K38" s="15"/>
      <c r="L38" s="592" t="s">
        <v>870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3" ySplit="7" topLeftCell="I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16" sqref="T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СОФИЙСКА ВОДА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130175000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към 30.06.2016г.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463</v>
      </c>
      <c r="B5" s="611"/>
      <c r="C5" s="59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59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185</v>
      </c>
      <c r="E9" s="189">
        <v>0</v>
      </c>
      <c r="F9" s="189">
        <v>0</v>
      </c>
      <c r="G9" s="74">
        <f>D9+E9-F9</f>
        <v>185</v>
      </c>
      <c r="H9" s="65"/>
      <c r="I9" s="65"/>
      <c r="J9" s="74">
        <f>G9+H9-I9</f>
        <v>185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525</v>
      </c>
      <c r="E10" s="189">
        <v>0</v>
      </c>
      <c r="F10" s="189">
        <v>0</v>
      </c>
      <c r="G10" s="74">
        <f aca="true" t="shared" si="2" ref="G10:G39">D10+E10-F10</f>
        <v>525</v>
      </c>
      <c r="H10" s="65"/>
      <c r="I10" s="65"/>
      <c r="J10" s="74">
        <f aca="true" t="shared" si="3" ref="J10:J39">G10+H10-I10</f>
        <v>525</v>
      </c>
      <c r="K10" s="65">
        <v>175</v>
      </c>
      <c r="L10" s="65">
        <v>10</v>
      </c>
      <c r="M10" s="65">
        <v>0</v>
      </c>
      <c r="N10" s="74">
        <f aca="true" t="shared" si="4" ref="N10:N39">K10+L10-M10</f>
        <v>185</v>
      </c>
      <c r="O10" s="65"/>
      <c r="P10" s="65"/>
      <c r="Q10" s="74">
        <f t="shared" si="0"/>
        <v>185</v>
      </c>
      <c r="R10" s="74">
        <f t="shared" si="1"/>
        <v>340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27755</v>
      </c>
      <c r="E11" s="189">
        <v>245</v>
      </c>
      <c r="F11" s="189">
        <v>8</v>
      </c>
      <c r="G11" s="74">
        <f t="shared" si="2"/>
        <v>27992</v>
      </c>
      <c r="H11" s="65"/>
      <c r="I11" s="65"/>
      <c r="J11" s="74">
        <f t="shared" si="3"/>
        <v>27992</v>
      </c>
      <c r="K11" s="65">
        <v>17302</v>
      </c>
      <c r="L11" s="65">
        <v>1132</v>
      </c>
      <c r="M11" s="65">
        <v>7</v>
      </c>
      <c r="N11" s="74">
        <f t="shared" si="4"/>
        <v>18427</v>
      </c>
      <c r="O11" s="65"/>
      <c r="P11" s="65"/>
      <c r="Q11" s="74">
        <f t="shared" si="0"/>
        <v>18427</v>
      </c>
      <c r="R11" s="74">
        <f t="shared" si="1"/>
        <v>9565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13843</v>
      </c>
      <c r="E13" s="189">
        <v>20</v>
      </c>
      <c r="F13" s="189">
        <v>659</v>
      </c>
      <c r="G13" s="74">
        <f t="shared" si="2"/>
        <v>13204</v>
      </c>
      <c r="H13" s="65"/>
      <c r="I13" s="65"/>
      <c r="J13" s="74">
        <f t="shared" si="3"/>
        <v>13204</v>
      </c>
      <c r="K13" s="65">
        <v>8694</v>
      </c>
      <c r="L13" s="65">
        <v>533</v>
      </c>
      <c r="M13" s="65">
        <v>633</v>
      </c>
      <c r="N13" s="74">
        <f t="shared" si="4"/>
        <v>8594</v>
      </c>
      <c r="O13" s="65"/>
      <c r="P13" s="65"/>
      <c r="Q13" s="74">
        <f t="shared" si="0"/>
        <v>8594</v>
      </c>
      <c r="R13" s="74">
        <f t="shared" si="1"/>
        <v>4610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/>
      <c r="I15" s="458"/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1173</v>
      </c>
      <c r="E16" s="189">
        <v>8</v>
      </c>
      <c r="F16" s="189">
        <v>0</v>
      </c>
      <c r="G16" s="74">
        <f t="shared" si="2"/>
        <v>1181</v>
      </c>
      <c r="H16" s="65"/>
      <c r="I16" s="65"/>
      <c r="J16" s="74">
        <f t="shared" si="3"/>
        <v>1181</v>
      </c>
      <c r="K16" s="65">
        <v>1036</v>
      </c>
      <c r="L16" s="65">
        <v>13</v>
      </c>
      <c r="M16" s="65">
        <v>0</v>
      </c>
      <c r="N16" s="74">
        <f t="shared" si="4"/>
        <v>1049</v>
      </c>
      <c r="O16" s="65"/>
      <c r="P16" s="65"/>
      <c r="Q16" s="74">
        <f aca="true" t="shared" si="5" ref="Q16:Q25">N16+O16-P16</f>
        <v>1049</v>
      </c>
      <c r="R16" s="74">
        <f aca="true" t="shared" si="6" ref="R16:R25">J16-Q16</f>
        <v>132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43481</v>
      </c>
      <c r="E17" s="194">
        <f>SUM(E9:E16)</f>
        <v>273</v>
      </c>
      <c r="F17" s="194">
        <f>SUM(F9:F16)</f>
        <v>667</v>
      </c>
      <c r="G17" s="74">
        <f t="shared" si="2"/>
        <v>43087</v>
      </c>
      <c r="H17" s="75">
        <f>SUM(H9:H16)</f>
        <v>0</v>
      </c>
      <c r="I17" s="75">
        <f>SUM(I9:I16)</f>
        <v>0</v>
      </c>
      <c r="J17" s="74">
        <f t="shared" si="3"/>
        <v>43087</v>
      </c>
      <c r="K17" s="75">
        <f>SUM(K9:K16)</f>
        <v>27207</v>
      </c>
      <c r="L17" s="75">
        <f>SUM(L9:L16)</f>
        <v>1688</v>
      </c>
      <c r="M17" s="75">
        <f>SUM(M9:M16)</f>
        <v>640</v>
      </c>
      <c r="N17" s="74">
        <f t="shared" si="4"/>
        <v>28255</v>
      </c>
      <c r="O17" s="75">
        <f>SUM(O9:O16)</f>
        <v>0</v>
      </c>
      <c r="P17" s="75">
        <f>SUM(P9:P16)</f>
        <v>0</v>
      </c>
      <c r="Q17" s="74">
        <f t="shared" si="5"/>
        <v>28255</v>
      </c>
      <c r="R17" s="74">
        <f t="shared" si="6"/>
        <v>14832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19624</v>
      </c>
      <c r="E22" s="189">
        <v>246</v>
      </c>
      <c r="F22" s="189">
        <v>0</v>
      </c>
      <c r="G22" s="74">
        <f t="shared" si="2"/>
        <v>19870</v>
      </c>
      <c r="H22" s="65"/>
      <c r="I22" s="65"/>
      <c r="J22" s="74">
        <f t="shared" si="3"/>
        <v>19870</v>
      </c>
      <c r="K22" s="65">
        <v>14637</v>
      </c>
      <c r="L22" s="65">
        <v>330</v>
      </c>
      <c r="M22" s="65"/>
      <c r="N22" s="74">
        <f t="shared" si="4"/>
        <v>14967</v>
      </c>
      <c r="O22" s="65"/>
      <c r="P22" s="65"/>
      <c r="Q22" s="74">
        <f t="shared" si="5"/>
        <v>14967</v>
      </c>
      <c r="R22" s="74">
        <f t="shared" si="6"/>
        <v>4903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21041</v>
      </c>
      <c r="E23" s="189">
        <v>0</v>
      </c>
      <c r="F23" s="189">
        <v>0</v>
      </c>
      <c r="G23" s="74">
        <f t="shared" si="2"/>
        <v>21041</v>
      </c>
      <c r="H23" s="65"/>
      <c r="I23" s="65"/>
      <c r="J23" s="74">
        <f t="shared" si="3"/>
        <v>21041</v>
      </c>
      <c r="K23" s="65">
        <v>21006</v>
      </c>
      <c r="L23" s="65">
        <v>31</v>
      </c>
      <c r="M23" s="65"/>
      <c r="N23" s="74">
        <f t="shared" si="4"/>
        <v>21037</v>
      </c>
      <c r="O23" s="65"/>
      <c r="P23" s="65"/>
      <c r="Q23" s="74">
        <f t="shared" si="5"/>
        <v>21037</v>
      </c>
      <c r="R23" s="74">
        <f t="shared" si="6"/>
        <v>4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f>412445+12517</f>
        <v>424962</v>
      </c>
      <c r="E24" s="189">
        <f>11573+13987</f>
        <v>25560</v>
      </c>
      <c r="F24" s="189">
        <v>12091</v>
      </c>
      <c r="G24" s="74">
        <f t="shared" si="2"/>
        <v>438431</v>
      </c>
      <c r="H24" s="65"/>
      <c r="I24" s="65"/>
      <c r="J24" s="74">
        <f t="shared" si="3"/>
        <v>438431</v>
      </c>
      <c r="K24" s="65">
        <v>150969</v>
      </c>
      <c r="L24" s="65">
        <v>13657</v>
      </c>
      <c r="M24" s="65"/>
      <c r="N24" s="74">
        <f t="shared" si="4"/>
        <v>164626</v>
      </c>
      <c r="O24" s="65"/>
      <c r="P24" s="65"/>
      <c r="Q24" s="74">
        <f t="shared" si="5"/>
        <v>164626</v>
      </c>
      <c r="R24" s="74">
        <f t="shared" si="6"/>
        <v>273805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465627</v>
      </c>
      <c r="E25" s="190">
        <f aca="true" t="shared" si="7" ref="E25:P25">SUM(E21:E24)</f>
        <v>25806</v>
      </c>
      <c r="F25" s="190">
        <f t="shared" si="7"/>
        <v>12091</v>
      </c>
      <c r="G25" s="67">
        <f t="shared" si="2"/>
        <v>479342</v>
      </c>
      <c r="H25" s="66">
        <f t="shared" si="7"/>
        <v>0</v>
      </c>
      <c r="I25" s="66">
        <f t="shared" si="7"/>
        <v>0</v>
      </c>
      <c r="J25" s="67">
        <f t="shared" si="3"/>
        <v>479342</v>
      </c>
      <c r="K25" s="66">
        <f t="shared" si="7"/>
        <v>186612</v>
      </c>
      <c r="L25" s="66">
        <f t="shared" si="7"/>
        <v>14018</v>
      </c>
      <c r="M25" s="66">
        <f t="shared" si="7"/>
        <v>0</v>
      </c>
      <c r="N25" s="67">
        <f t="shared" si="4"/>
        <v>200630</v>
      </c>
      <c r="O25" s="66">
        <f t="shared" si="7"/>
        <v>0</v>
      </c>
      <c r="P25" s="66">
        <f t="shared" si="7"/>
        <v>0</v>
      </c>
      <c r="Q25" s="67">
        <f t="shared" si="5"/>
        <v>200630</v>
      </c>
      <c r="R25" s="67">
        <f t="shared" si="6"/>
        <v>278712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7393</v>
      </c>
      <c r="E39" s="572"/>
      <c r="F39" s="572"/>
      <c r="G39" s="74">
        <f t="shared" si="2"/>
        <v>7393</v>
      </c>
      <c r="H39" s="572"/>
      <c r="I39" s="572"/>
      <c r="J39" s="74">
        <f t="shared" si="3"/>
        <v>7393</v>
      </c>
      <c r="K39" s="572">
        <v>7393</v>
      </c>
      <c r="L39" s="572"/>
      <c r="M39" s="572"/>
      <c r="N39" s="74">
        <f t="shared" si="4"/>
        <v>7393</v>
      </c>
      <c r="O39" s="572"/>
      <c r="P39" s="572"/>
      <c r="Q39" s="74">
        <f t="shared" si="9"/>
        <v>7393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516501</v>
      </c>
      <c r="E40" s="438">
        <f>E17+E18+E19+E25+E38+E39</f>
        <v>26079</v>
      </c>
      <c r="F40" s="438">
        <f aca="true" t="shared" si="13" ref="F40:R40">F17+F18+F19+F25+F38+F39</f>
        <v>12758</v>
      </c>
      <c r="G40" s="438">
        <f t="shared" si="13"/>
        <v>529822</v>
      </c>
      <c r="H40" s="438">
        <f t="shared" si="13"/>
        <v>0</v>
      </c>
      <c r="I40" s="438">
        <f t="shared" si="13"/>
        <v>0</v>
      </c>
      <c r="J40" s="438">
        <f t="shared" si="13"/>
        <v>529822</v>
      </c>
      <c r="K40" s="438">
        <f t="shared" si="13"/>
        <v>221212</v>
      </c>
      <c r="L40" s="438">
        <f t="shared" si="13"/>
        <v>15706</v>
      </c>
      <c r="M40" s="438">
        <f t="shared" si="13"/>
        <v>640</v>
      </c>
      <c r="N40" s="438">
        <f t="shared" si="13"/>
        <v>236278</v>
      </c>
      <c r="O40" s="438">
        <f t="shared" si="13"/>
        <v>0</v>
      </c>
      <c r="P40" s="438">
        <f t="shared" si="13"/>
        <v>0</v>
      </c>
      <c r="Q40" s="438">
        <f t="shared" si="13"/>
        <v>236278</v>
      </c>
      <c r="R40" s="438">
        <f t="shared" si="13"/>
        <v>293544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600"/>
      <c r="L44" s="600"/>
      <c r="M44" s="600"/>
      <c r="N44" s="600"/>
      <c r="O44" s="605" t="s">
        <v>868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4">
      <selection activeCell="C65" sqref="C6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СОФИЙСКА ВОДА АД</v>
      </c>
      <c r="C3" s="621"/>
      <c r="D3" s="526" t="s">
        <v>2</v>
      </c>
      <c r="E3" s="107">
        <f>'справка №1-БАЛАНС'!H3</f>
        <v>130175000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към 30.06.2016г.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f>'справка №1-БАЛАНС'!C54</f>
        <v>6350</v>
      </c>
      <c r="D21" s="108"/>
      <c r="E21" s="120">
        <f t="shared" si="0"/>
        <v>6350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f>'справка №1-БАЛАНС'!C68</f>
        <v>34061</v>
      </c>
      <c r="D28" s="108">
        <v>32764</v>
      </c>
      <c r="E28" s="120">
        <f t="shared" si="0"/>
        <v>1297</v>
      </c>
      <c r="F28" s="106"/>
    </row>
    <row r="29" spans="1:6" ht="12">
      <c r="A29" s="396" t="s">
        <v>648</v>
      </c>
      <c r="B29" s="397" t="s">
        <v>649</v>
      </c>
      <c r="C29" s="108">
        <f>'справка №1-БАЛАНС'!C69</f>
        <v>1554</v>
      </c>
      <c r="D29" s="108">
        <v>1554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35615</v>
      </c>
      <c r="D43" s="104">
        <f>D24+D28+D29+D31+D30+D32+D33+D38</f>
        <v>34318</v>
      </c>
      <c r="E43" s="118">
        <f>E24+E28+E29+E31+E30+E32+E33+E38</f>
        <v>1297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41965</v>
      </c>
      <c r="D44" s="103">
        <f>D43+D21+D19+D9</f>
        <v>34318</v>
      </c>
      <c r="E44" s="118">
        <f>E43+E21+E19+E9</f>
        <v>7647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>
        <f>C53</f>
        <v>0</v>
      </c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>
        <f>C55</f>
        <v>0</v>
      </c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40164</v>
      </c>
      <c r="D56" s="103">
        <f>D57+D59</f>
        <v>8788</v>
      </c>
      <c r="E56" s="119">
        <f t="shared" si="1"/>
        <v>31376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40164</v>
      </c>
      <c r="D57" s="108">
        <v>8788</v>
      </c>
      <c r="E57" s="119">
        <f t="shared" si="1"/>
        <v>31376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f>2062+'справка №1-БАЛАНС'!G48-2</f>
        <v>15932</v>
      </c>
      <c r="D64" s="108">
        <v>1156</v>
      </c>
      <c r="E64" s="119">
        <f t="shared" si="1"/>
        <v>14776</v>
      </c>
      <c r="F64" s="110"/>
    </row>
    <row r="65" spans="1:6" ht="12">
      <c r="A65" s="396" t="s">
        <v>707</v>
      </c>
      <c r="B65" s="397" t="s">
        <v>708</v>
      </c>
      <c r="C65" s="109">
        <v>2062</v>
      </c>
      <c r="D65" s="109">
        <v>1156</v>
      </c>
      <c r="E65" s="119">
        <f t="shared" si="1"/>
        <v>906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56096</v>
      </c>
      <c r="D66" s="103">
        <f>D52+D56+D61+D62+D63+D64</f>
        <v>9944</v>
      </c>
      <c r="E66" s="119">
        <f t="shared" si="1"/>
        <v>46152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5415</v>
      </c>
      <c r="D71" s="105">
        <f>SUM(D72:D74)</f>
        <v>5415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f>'справка №1-БАЛАНС'!G62</f>
        <v>5415</v>
      </c>
      <c r="D72" s="108">
        <v>5415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90805.05762514868</v>
      </c>
      <c r="D85" s="104">
        <f>SUM(D86:D90)+D94</f>
        <v>90165</v>
      </c>
      <c r="E85" s="104">
        <f>SUM(E86:E90)+E94</f>
        <v>640.0576251486782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f>'справка №1-БАЛАНС'!G63</f>
        <v>71383.05762514868</v>
      </c>
      <c r="D86" s="108">
        <v>71383</v>
      </c>
      <c r="E86" s="119">
        <f t="shared" si="1"/>
        <v>0.05762514867819846</v>
      </c>
      <c r="F86" s="108"/>
    </row>
    <row r="87" spans="1:6" ht="12">
      <c r="A87" s="396" t="s">
        <v>744</v>
      </c>
      <c r="B87" s="397" t="s">
        <v>745</v>
      </c>
      <c r="C87" s="108">
        <f>'справка №1-БАЛАНС'!G64</f>
        <v>15224</v>
      </c>
      <c r="D87" s="108">
        <f>C87</f>
        <v>15224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f>'справка №1-БАЛАНС'!G66</f>
        <v>2233</v>
      </c>
      <c r="D89" s="108">
        <f>C89</f>
        <v>2233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1325</v>
      </c>
      <c r="D90" s="103">
        <f>SUM(D91:D93)</f>
        <v>1325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f>'[4]Consolidation_PL_BS'!$X$50</f>
        <v>0</v>
      </c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f>-'[4]Consolidation_PL_BS'!$X$43</f>
        <v>1325</v>
      </c>
      <c r="D92" s="108">
        <f>C92</f>
        <v>1325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f>'справка №1-БАЛАНС'!G67</f>
        <v>640</v>
      </c>
      <c r="D94" s="108"/>
      <c r="E94" s="119">
        <f t="shared" si="1"/>
        <v>640</v>
      </c>
      <c r="F94" s="108"/>
    </row>
    <row r="95" spans="1:6" ht="12">
      <c r="A95" s="396" t="s">
        <v>758</v>
      </c>
      <c r="B95" s="397" t="s">
        <v>759</v>
      </c>
      <c r="C95" s="108">
        <f>'справка №1-БАЛАНС'!G69</f>
        <v>7232.518361750947</v>
      </c>
      <c r="D95" s="108"/>
      <c r="E95" s="119">
        <f t="shared" si="1"/>
        <v>7232.518361750947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103452.57598689962</v>
      </c>
      <c r="D96" s="104">
        <f>D85+D80+D75+D71+D95</f>
        <v>95580</v>
      </c>
      <c r="E96" s="104">
        <f>E85+E80+E75+E71+E95</f>
        <v>7872.575986899626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159548.5759868996</v>
      </c>
      <c r="D97" s="104">
        <f>D96+D68+D66</f>
        <v>105524</v>
      </c>
      <c r="E97" s="104">
        <f>E96+E68+E66</f>
        <v>54024.575986899625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5973</v>
      </c>
      <c r="D102" s="108">
        <f>ROUND('[1]NoteBS'!$D$102,0)+1</f>
        <v>146</v>
      </c>
      <c r="E102" s="108">
        <f>ROUND(-'[1]NoteBS'!$E$102,0)</f>
        <v>45</v>
      </c>
      <c r="F102" s="125">
        <f>C102+D102-E102</f>
        <v>6074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469</v>
      </c>
      <c r="D104" s="108">
        <v>158</v>
      </c>
      <c r="E104" s="108"/>
      <c r="F104" s="125">
        <f>C104+D104-E104</f>
        <v>627</v>
      </c>
    </row>
    <row r="105" spans="1:16" ht="12">
      <c r="A105" s="412" t="s">
        <v>775</v>
      </c>
      <c r="B105" s="395" t="s">
        <v>776</v>
      </c>
      <c r="C105" s="103">
        <f>SUM(C102:C104)</f>
        <v>6442</v>
      </c>
      <c r="D105" s="103">
        <f>SUM(D102:D104)</f>
        <v>304</v>
      </c>
      <c r="E105" s="103">
        <f>SUM(E102:E104)</f>
        <v>45</v>
      </c>
      <c r="F105" s="103">
        <f>SUM(F102:F104)</f>
        <v>6701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860</v>
      </c>
      <c r="B109" s="615"/>
      <c r="C109" s="615" t="s">
        <v>867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868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СОФИЙСКА ВОДА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130175000</v>
      </c>
    </row>
    <row r="5" spans="1:9" ht="15">
      <c r="A5" s="501" t="s">
        <v>5</v>
      </c>
      <c r="B5" s="623" t="str">
        <f>'справка №1-БАЛАНС'!E5</f>
        <v>към 30.06.2016г.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860</v>
      </c>
      <c r="B30" s="625"/>
      <c r="C30" s="625"/>
      <c r="D30" s="459" t="s">
        <v>817</v>
      </c>
      <c r="E30" s="624" t="s">
        <v>869</v>
      </c>
      <c r="F30" s="624"/>
      <c r="G30" s="624"/>
      <c r="H30" s="420" t="s">
        <v>779</v>
      </c>
      <c r="I30" s="624" t="s">
        <v>870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D155" sqref="D15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СОФИЙСКА ВОДА АД</v>
      </c>
      <c r="C5" s="629"/>
      <c r="D5" s="629"/>
      <c r="E5" s="570" t="s">
        <v>2</v>
      </c>
      <c r="F5" s="451">
        <f>'справка №1-БАЛАНС'!H3</f>
        <v>130175000</v>
      </c>
    </row>
    <row r="6" spans="1:13" ht="15" customHeight="1">
      <c r="A6" s="27" t="s">
        <v>820</v>
      </c>
      <c r="B6" s="630" t="str">
        <f>'справка №1-БАЛАНС'!E5</f>
        <v>към 30.06.2016г.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26.25" customHeight="1">
      <c r="A12" s="575" t="s">
        <v>871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575" t="s">
        <v>829</v>
      </c>
      <c r="B13" s="37"/>
      <c r="C13" s="441"/>
      <c r="D13" s="576"/>
      <c r="E13" s="441"/>
      <c r="F13" s="443">
        <f>C13-E13</f>
        <v>0</v>
      </c>
    </row>
    <row r="14" spans="1:6" ht="12.75">
      <c r="A14" s="575" t="s">
        <v>872</v>
      </c>
      <c r="B14" s="37"/>
      <c r="C14" s="441"/>
      <c r="D14" s="576"/>
      <c r="E14" s="441"/>
      <c r="F14" s="443">
        <f>C14-E14</f>
        <v>0</v>
      </c>
    </row>
    <row r="15" spans="1:6" ht="12.75">
      <c r="A15" s="575">
        <v>4</v>
      </c>
      <c r="B15" s="37"/>
      <c r="C15" s="441"/>
      <c r="D15" s="576"/>
      <c r="E15" s="441"/>
      <c r="F15" s="443">
        <f aca="true" t="shared" si="0" ref="F15:F26">C15-E15</f>
        <v>0</v>
      </c>
    </row>
    <row r="16" spans="1:6" ht="12.75">
      <c r="A16" s="575">
        <v>5</v>
      </c>
      <c r="B16" s="37"/>
      <c r="C16" s="441"/>
      <c r="D16" s="576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575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828</v>
      </c>
      <c r="B46" s="40"/>
      <c r="C46" s="441"/>
      <c r="D46" s="441"/>
      <c r="E46" s="441"/>
      <c r="F46" s="443">
        <f>C46-E46</f>
        <v>0</v>
      </c>
    </row>
    <row r="47" spans="1:6" ht="12.75">
      <c r="A47" s="36">
        <v>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>
        <v>3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860</v>
      </c>
      <c r="B151" s="453"/>
      <c r="C151" s="631" t="s">
        <v>867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868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Счетоводен баланс 30.6.2016</dc:title>
  <dc:subject/>
  <dc:creator>Ilonka Tzekova</dc:creator>
  <cp:keywords/>
  <dc:description/>
  <cp:lastModifiedBy>Ilieva, Aneliya</cp:lastModifiedBy>
  <cp:lastPrinted>2016-07-28T12:40:06Z</cp:lastPrinted>
  <dcterms:created xsi:type="dcterms:W3CDTF">2000-06-29T12:02:40Z</dcterms:created>
  <dcterms:modified xsi:type="dcterms:W3CDTF">2016-08-17T08:48:44Z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2016</vt:lpwstr>
  </property>
  <property fmtid="{D5CDD505-2E9C-101B-9397-08002B2CF9AE}" pid="4" name="ContentTy">
    <vt:lpwstr>Document</vt:lpwstr>
  </property>
  <property fmtid="{D5CDD505-2E9C-101B-9397-08002B2CF9AE}" pid="5" name="DocDescripti">
    <vt:lpwstr>Счетоводен баланс 30.6.2016</vt:lpwstr>
  </property>
  <property fmtid="{D5CDD505-2E9C-101B-9397-08002B2CF9AE}" pid="6" name="Catego">
    <vt:lpwstr>6</vt:lpwstr>
  </property>
  <property fmtid="{D5CDD505-2E9C-101B-9397-08002B2CF9AE}" pid="7" name="Subcatego">
    <vt:lpwstr>Второ тримесечие</vt:lpwstr>
  </property>
</Properties>
</file>