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<sst xmlns="http://schemas.openxmlformats.org/spreadsheetml/2006/main" count="4183" uniqueCount="974">
  <si>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</si>
  <si>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</si>
  <si>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</si>
  <si>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</si>
  <si>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</si>
  <si>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</si>
  <si>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</si>
  <si>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</si>
  <si>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</si>
  <si>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</si>
  <si>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</si>
  <si>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</si>
  <si>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</si>
  <si>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</si>
  <si>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</si>
  <si>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</si>
  <si>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</si>
  <si>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</si>
  <si>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</si>
  <si>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</si>
  <si>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</si>
  <si>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</si>
  <si>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</si>
  <si>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</si>
  <si>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</si>
  <si>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</si>
  <si>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</si>
  <si>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</si>
  <si>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</si>
  <si>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</si>
  <si>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</si>
  <si>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</si>
  <si>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</si>
  <si>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</si>
  <si>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</si>
  <si>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</si>
  <si>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</si>
  <si>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</si>
  <si>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</si>
  <si>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</si>
  <si>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</si>
  <si>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</si>
  <si>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</si>
  <si>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</si>
  <si>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</si>
  <si>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</si>
  <si>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</si>
  <si>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</si>
  <si>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</si>
  <si>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</si>
  <si>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</si>
  <si>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</si>
  <si>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</si>
  <si>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</si>
  <si>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</si>
  <si>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</si>
  <si>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</si>
  <si>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</si>
  <si>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</si>
  <si>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</si>
  <si>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</si>
  <si>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</si>
  <si>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</si>
  <si>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</si>
  <si>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</si>
  <si>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</si>
  <si>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</si>
  <si>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</si>
  <si>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</si>
  <si>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</si>
  <si>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</si>
  <si>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</si>
  <si>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</si>
  <si>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</si>
  <si>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</si>
  <si>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</si>
  <si>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</si>
  <si>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</si>
  <si>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</si>
  <si>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</si>
  <si>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</si>
  <si>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</si>
  <si>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</si>
  <si>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</si>
  <si>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</si>
  <si>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</si>
  <si>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</si>
  <si>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</si>
  <si>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</si>
  <si>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</si>
  <si>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</si>
  <si>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</si>
  <si>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</si>
  <si>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</si>
  <si>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</si>
  <si>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</si>
  <si>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</si>
  <si>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</si>
  <si>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</si>
  <si>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</si>
  <si>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</si>
  <si>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</si>
  <si>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</si>
  <si>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</si>
  <si>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</si>
  <si>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</si>
  <si>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</si>
  <si>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</si>
  <si>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</si>
  <si>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</si>
  <si>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</si>
  <si>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</si>
  <si>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</si>
  <si>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</si>
  <si>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</si>
  <si>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</si>
  <si>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</si>
  <si>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</si>
  <si>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</si>
  <si>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</si>
  <si>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</si>
  <si>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</si>
  <si>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</si>
  <si>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</si>
  <si>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</si>
  <si>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</si>
  <si>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</si>
  <si>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</si>
  <si>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</si>
  <si>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</si>
  <si>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</si>
  <si>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</si>
  <si>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</si>
  <si>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</si>
  <si>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</si>
  <si>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</si>
  <si>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</si>
  <si>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</si>
  <si>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</si>
  <si>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</si>
  <si>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</si>
  <si>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</si>
  <si>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</si>
  <si>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</si>
  <si>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</si>
  <si>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</si>
  <si>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</si>
  <si>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</si>
  <si>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</si>
  <si>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</si>
  <si>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</si>
  <si>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</si>
  <si>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</si>
  <si>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</si>
  <si>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</si>
  <si>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</si>
  <si>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</si>
  <si>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</si>
  <si>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</si>
  <si>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</si>
  <si>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</si>
  <si>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</si>
  <si>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</si>
  <si>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</si>
  <si>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</si>
  <si>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</si>
  <si>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</si>
  <si>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</si>
  <si>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</si>
  <si>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</si>
  <si>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</si>
  <si>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</si>
  <si>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</si>
  <si>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</si>
  <si>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</si>
  <si>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</si>
  <si>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</si>
  <si>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</si>
  <si>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</si>
  <si>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</si>
  <si>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</si>
  <si>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</si>
  <si>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</si>
  <si>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</si>
  <si>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</si>
  <si>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</si>
  <si>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</si>
  <si>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</si>
  <si>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</si>
  <si>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</si>
  <si>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</si>
  <si>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</si>
  <si>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</si>
  <si>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</si>
  <si>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</si>
  <si>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</si>
  <si>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</si>
  <si>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</si>
  <si>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</si>
  <si>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</si>
  <si>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</si>
  <si>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</si>
  <si>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</si>
  <si>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</si>
  <si>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</si>
  <si>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</si>
  <si>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</si>
  <si>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</si>
  <si>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</si>
  <si>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</si>
  <si>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</si>
  <si>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</si>
  <si>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</si>
  <si>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</si>
  <si>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</si>
  <si>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</si>
  <si>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</si>
  <si>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</si>
  <si>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</si>
  <si>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</si>
  <si>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</si>
  <si>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</si>
  <si>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</si>
  <si>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</si>
  <si>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</si>
  <si>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</si>
  <si>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</si>
  <si>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</si>
  <si>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</si>
  <si>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</si>
  <si>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</si>
  <si>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</si>
  <si>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</si>
  <si>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</si>
  <si>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</si>
  <si>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</si>
  <si>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</si>
  <si>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</si>
  <si>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</si>
  <si>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</si>
  <si>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</si>
  <si>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</si>
  <si>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</si>
  <si>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</si>
  <si>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</si>
  <si>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</si>
  <si>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</si>
  <si>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</si>
  <si>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</si>
  <si>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</si>
  <si>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</si>
  <si>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</si>
  <si>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</si>
  <si>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</si>
  <si>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</si>
  <si>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</si>
  <si>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</si>
  <si>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</si>
  <si>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</si>
  <si>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</si>
  <si>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</si>
  <si>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</si>
  <si>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</si>
  <si>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</si>
  <si>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</si>
  <si>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</si>
  <si>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</si>
  <si>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</si>
  <si>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</si>
  <si>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</si>
  <si>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</si>
  <si>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</si>
  <si>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</si>
  <si>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</si>
  <si>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</si>
  <si>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</si>
  <si>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</si>
  <si>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</si>
  <si>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</si>
  <si>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</si>
  <si>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</si>
  <si>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</si>
  <si>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</si>
  <si>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</si>
  <si>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</si>
  <si>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</si>
  <si>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</si>
  <si>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</si>
  <si>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</si>
  <si>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</si>
  <si>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</si>
  <si>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</si>
  <si>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</si>
  <si>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</si>
  <si>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</si>
  <si>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</si>
  <si>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</si>
  <si>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</si>
  <si>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</si>
  <si>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</si>
  <si>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</si>
  <si>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</si>
  <si>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</si>
  <si>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</si>
  <si>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</si>
  <si>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</si>
  <si>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</si>
  <si>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</si>
  <si>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</si>
  <si>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</si>
  <si>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</si>
  <si>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</si>
  <si>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</si>
  <si>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</si>
  <si>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</si>
  <si>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</si>
  <si>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</si>
  <si>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</si>
  <si>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</si>
  <si>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</si>
  <si>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</si>
  <si>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</si>
  <si>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</si>
  <si>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</si>
  <si>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</si>
  <si>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</si>
  <si>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</si>
  <si>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</si>
  <si>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</si>
  <si>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</si>
  <si>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</si>
  <si>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</si>
  <si>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</si>
  <si>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</si>
  <si>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</si>
  <si>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</si>
  <si>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</si>
  <si>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</si>
  <si>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</si>
  <si>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</si>
  <si>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</si>
  <si>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</si>
  <si>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</si>
  <si>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</si>
  <si>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</si>
  <si>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</si>
  <si>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</si>
  <si>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</si>
  <si>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</si>
  <si>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</si>
  <si>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</si>
  <si>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</si>
  <si>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</si>
  <si>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</si>
  <si>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</si>
  <si>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</si>
  <si>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</si>
  <si>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</si>
  <si>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</si>
  <si>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</si>
  <si>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</si>
  <si>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</si>
  <si>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</si>
  <si>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</si>
  <si>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</si>
  <si>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</si>
  <si>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</si>
  <si>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</si>
  <si>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</si>
  <si>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</si>
  <si>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</si>
  <si>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</si>
  <si>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</si>
  <si>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</si>
  <si>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</si>
  <si>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</si>
  <si>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</si>
  <si>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</si>
  <si>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</si>
  <si>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</si>
  <si>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</si>
  <si>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</si>
  <si>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</si>
  <si>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</si>
  <si>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</si>
  <si>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</si>
  <si>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</si>
  <si>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</si>
  <si>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</si>
  <si>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</si>
  <si>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</si>
  <si>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</si>
  <si>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</si>
  <si>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</si>
  <si>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</si>
  <si>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</si>
  <si>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</si>
  <si>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</si>
  <si>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</si>
  <si>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</si>
  <si>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</si>
  <si>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</si>
  <si>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</si>
  <si>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</si>
  <si>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</si>
  <si>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</si>
  <si>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</si>
  <si>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</si>
  <si>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</si>
  <si>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</si>
  <si>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</si>
  <si>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</si>
  <si>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</si>
  <si>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</si>
  <si>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</si>
  <si>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</si>
  <si>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</si>
  <si>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</si>
  <si>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</si>
  <si>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</si>
  <si>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</si>
  <si>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</si>
  <si>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</si>
  <si>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</si>
  <si>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</si>
  <si>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</si>
  <si>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</si>
  <si>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</si>
  <si>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</si>
  <si>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</si>
  <si>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</si>
  <si>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</si>
  <si>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</si>
  <si>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</si>
  <si>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</si>
  <si>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</si>
  <si>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</si>
  <si>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</si>
  <si>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</si>
  <si>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</si>
  <si>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</si>
  <si>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</si>
  <si>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</si>
  <si>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</si>
  <si>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</si>
  <si>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</si>
  <si>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</si>
  <si>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</si>
  <si>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</si>
  <si>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</si>
  <si>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</si>
  <si>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</si>
  <si>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</si>
  <si>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</si>
  <si>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</si>
  <si>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</si>
  <si>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</si>
  <si>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</si>
  <si>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</si>
  <si>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</si>
  <si>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</si>
  <si>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</si>
  <si>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</si>
  <si>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</si>
  <si>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</si>
  <si>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</si>
  <si>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</si>
  <si>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</si>
  <si>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</si>
  <si>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</si>
  <si>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</si>
  <si>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</si>
  <si>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</si>
  <si>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</si>
  <si>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</si>
  <si>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</si>
  <si>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</si>
  <si>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</si>
  <si>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</si>
  <si>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</si>
  <si>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</si>
  <si>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</si>
  <si>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</si>
  <si>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</si>
  <si>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</si>
  <si>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</si>
  <si>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</si>
  <si>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</si>
  <si>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</si>
  <si>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</si>
  <si>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</si>
  <si>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</si>
  <si>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</si>
  <si>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</si>
  <si>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</si>
  <si>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</si>
  <si>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</si>
  <si>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</si>
  <si>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</si>
  <si>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</si>
  <si>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</si>
  <si>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</si>
  <si>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</si>
  <si>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</si>
  <si>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</si>
  <si>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</si>
  <si>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</si>
  <si>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</si>
  <si>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</si>
  <si>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</si>
  <si>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</si>
  <si>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</si>
  <si>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</si>
  <si>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</si>
  <si>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</si>
  <si>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</si>
  <si>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</si>
  <si>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</si>
  <si>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</si>
  <si>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</si>
  <si>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</si>
  <si>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</si>
  <si>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</si>
  <si>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</si>
  <si>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</si>
  <si>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</si>
  <si>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</si>
  <si>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</si>
  <si>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</si>
  <si>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</si>
  <si>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</si>
  <si>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</si>
  <si>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</si>
  <si>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</si>
  <si>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</si>
  <si>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</si>
  <si>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</si>
  <si>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</si>
  <si>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</si>
  <si>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</si>
  <si>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</si>
  <si>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</si>
  <si>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</si>
  <si>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</si>
  <si>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</si>
  <si>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</si>
  <si>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</si>
  <si>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</si>
  <si>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</si>
  <si>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</si>
  <si>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</si>
  <si>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</si>
  <si>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</si>
  <si>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</si>
  <si>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</si>
  <si>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</si>
  <si>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</si>
  <si>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</si>
  <si>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</si>
  <si>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</si>
  <si>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</si>
  <si>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</si>
  <si>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</si>
  <si>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</si>
  <si>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</si>
  <si>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</si>
  <si>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</si>
  <si>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</si>
  <si>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</si>
  <si>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</si>
  <si>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</si>
  <si>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</si>
  <si>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</si>
  <si>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</si>
  <si>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</si>
  <si>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</si>
  <si>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</si>
  <si>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</si>
  <si>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</si>
  <si>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</si>
  <si>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</si>
  <si>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</si>
  <si>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</si>
  <si>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</si>
  <si>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</si>
  <si>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</si>
  <si>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</si>
  <si>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</si>
  <si>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</si>
  <si>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</si>
  <si>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</si>
  <si>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</si>
  <si>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</si>
  <si>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</si>
  <si>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</si>
  <si>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</si>
  <si>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</si>
  <si>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</si>
  <si>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</si>
  <si>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</si>
  <si>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</si>
  <si>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</si>
  <si>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</si>
  <si>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</si>
  <si>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</si>
  <si>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</si>
  <si>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</si>
  <si>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</si>
  <si>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</si>
  <si>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</si>
  <si>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</si>
  <si>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</si>
  <si>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</si>
  <si>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</si>
  <si>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</si>
  <si>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</si>
  <si>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</si>
  <si>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</si>
  <si>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</si>
  <si>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</si>
  <si>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</si>
  <si>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</si>
  <si>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</si>
  <si>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</si>
  <si>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</si>
  <si>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</si>
  <si>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</si>
  <si>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</si>
  <si>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</si>
  <si>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</si>
  <si>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</si>
  <si>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</si>
  <si>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</si>
  <si>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</si>
  <si>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</si>
  <si>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</si>
  <si>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</si>
  <si>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</si>
  <si>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</si>
  <si>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</si>
  <si>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</si>
  <si>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</si>
  <si>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</si>
  <si>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</si>
  <si>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</si>
  <si>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</si>
  <si>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</si>
  <si>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</si>
  <si>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</si>
  <si>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</si>
  <si>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</si>
  <si>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</si>
  <si>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</si>
  <si>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</si>
  <si>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</si>
  <si>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</si>
  <si>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</si>
  <si>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</si>
  <si>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</si>
  <si>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</si>
  <si>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</si>
  <si>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</si>
  <si>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</si>
  <si>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</si>
  <si>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</si>
  <si>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</si>
  <si>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</si>
  <si>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</si>
  <si>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</si>
  <si>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</si>
  <si>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</si>
  <si>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</si>
  <si>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</si>
  <si>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</si>
  <si>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</si>
  <si>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</si>
  <si>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</si>
  <si>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</si>
  <si>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</si>
  <si>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</si>
  <si>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</si>
  <si>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</si>
  <si>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</si>
  <si>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</si>
  <si>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</si>
  <si>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</si>
  <si>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</si>
  <si>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</si>
  <si>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</si>
  <si>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</si>
  <si>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</si>
  <si>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</si>
  <si>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</si>
  <si>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</si>
  <si>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</si>
  <si>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</si>
  <si>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</si>
  <si>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</si>
  <si>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</si>
  <si>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</si>
  <si>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</si>
  <si>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</si>
  <si>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</si>
  <si>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</si>
  <si>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</si>
  <si>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</si>
  <si>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</si>
  <si>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</si>
  <si>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</si>
  <si>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</si>
  <si>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</si>
  <si>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</si>
  <si>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</si>
  <si>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</si>
  <si>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</si>
  <si>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</si>
  <si>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</si>
  <si>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</si>
  <si>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</si>
  <si>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</si>
  <si>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</si>
  <si>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</si>
  <si>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</si>
  <si>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</si>
  <si>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</si>
  <si>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</si>
  <si>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</si>
  <si>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</si>
  <si>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</si>
  <si>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</si>
  <si>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</si>
  <si>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</si>
  <si>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</si>
  <si>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</si>
  <si>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</si>
  <si>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</si>
  <si>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</si>
  <si>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</si>
  <si>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</si>
  <si>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</si>
  <si>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</si>
  <si>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</si>
  <si>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</si>
  <si>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</si>
  <si>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</si>
  <si>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</si>
  <si>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</si>
  <si>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</si>
  <si>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</si>
  <si>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</si>
  <si>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</si>
  <si>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</si>
  <si>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</si>
  <si>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</si>
  <si>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</si>
  <si>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</si>
  <si>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</si>
  <si>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</si>
  <si>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</si>
  <si>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</si>
  <si>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</si>
  <si>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</si>
  <si>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</si>
  <si>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</si>
  <si>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</si>
  <si>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</si>
  <si>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</si>
  <si>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</si>
  <si>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</si>
  <si>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</si>
  <si>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</si>
  <si>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</si>
  <si>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</si>
  <si>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</si>
  <si>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</si>
  <si>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</si>
  <si>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</si>
  <si>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</si>
  <si>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</si>
  <si>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</si>
  <si>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</si>
  <si>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</si>
  <si>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</si>
  <si>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</si>
  <si>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</si>
  <si>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</si>
  <si>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</si>
  <si>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</si>
  <si>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</si>
  <si>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</si>
  <si>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</si>
  <si>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</si>
  <si>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</si>
  <si>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</si>
  <si>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</si>
  <si>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</si>
  <si>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</si>
  <si>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</si>
  <si>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</si>
  <si>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</si>
  <si>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</si>
  <si>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</si>
  <si>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</si>
  <si>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</si>
  <si>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</si>
  <si>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</si>
  <si>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</si>
  <si>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</si>
  <si>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</si>
  <si>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</si>
  <si>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</si>
  <si>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</si>
  <si>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</si>
  <si>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</si>
  <si>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</si>
  <si>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</si>
  <si>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</si>
  <si>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</si>
  <si>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</si>
  <si>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</si>
  <si>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</si>
  <si>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</si>
  <si>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</si>
  <si>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</si>
  <si>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</si>
  <si>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</si>
  <si>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</si>
  <si>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</si>
  <si>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</si>
  <si>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</si>
  <si>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</si>
  <si>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</si>
  <si>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</si>
  <si>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</si>
  <si>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</si>
  <si>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</si>
  <si>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</si>
  <si>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</si>
  <si>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</si>
  <si>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</si>
  <si>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</si>
  <si>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</si>
  <si>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</si>
  <si>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</si>
  <si>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</si>
  <si>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</si>
  <si>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</si>
  <si>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</si>
  <si>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</si>
  <si>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</si>
  <si>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</si>
  <si>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</si>
  <si>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</si>
  <si>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</si>
  <si>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</si>
  <si>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</si>
  <si>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</si>
  <si>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</si>
  <si>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</si>
  <si>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</si>
  <si>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</si>
  <si>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</si>
  <si>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</si>
  <si>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</si>
  <si>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</si>
  <si>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</si>
  <si>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</si>
  <si>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</si>
  <si>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</si>
  <si>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</si>
  <si>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</si>
  <si>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</si>
  <si>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</si>
  <si>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</si>
  <si>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</si>
  <si>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</si>
  <si>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</si>
  <si>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</si>
  <si>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</si>
  <si>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</si>
  <si>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</si>
  <si>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</si>
  <si>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</si>
  <si>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</si>
  <si>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</si>
  <si>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</si>
  <si>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</si>
  <si>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</si>
  <si>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</si>
  <si>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</si>
  <si>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</si>
  <si>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</si>
  <si>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</si>
  <si>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</si>
  <si>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</si>
  <si>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</si>
  <si>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</si>
  <si>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</si>
  <si>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</si>
  <si>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</si>
  <si>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</si>
  <si>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</si>
  <si>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</si>
  <si>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</si>
  <si>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</si>
  <si>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</si>
  <si>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</si>
  <si>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</si>
  <si>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</si>
  <si>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</si>
  <si>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</si>
  <si>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</si>
  <si>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</si>
  <si>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</si>
  <si>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</si>
  <si>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</si>
  <si>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</si>
  <si>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</si>
  <si>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</si>
  <si>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</si>
  <si>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</si>
  <si>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</si>
  <si>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</si>
  <si>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</si>
  <si>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</si>
  <si>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</si>
  <si>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</si>
  <si>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</si>
  <si>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</si>
  <si>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</si>
  <si>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</si>
  <si>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</si>
  <si>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</si>
  <si>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</si>
  <si>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</si>
  <si>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</si>
  <si>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</si>
  <si>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</si>
  <si>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</si>
  <si>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</si>
  <si>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</si>
  <si>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</si>
  <si>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</si>
  <si>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</si>
  <si>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</si>
  <si>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</si>
  <si>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</si>
  <si>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</si>
  <si>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</si>
  <si>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</si>
  <si>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</si>
  <si>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</si>
  <si>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</si>
  <si>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</si>
  <si>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</si>
  <si>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</si>
  <si>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</si>
  <si>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</si>
  <si>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</si>
  <si>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</si>
  <si>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</si>
  <si>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</si>
  <si>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</si>
  <si>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СОФИЙСКА ВОДА АД</t>
  </si>
  <si>
    <t>130175000</t>
  </si>
  <si>
    <t xml:space="preserve">Арно Филип Франсоа Валто де Мулиак </t>
  </si>
  <si>
    <t>Изпълнителен директор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</si>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</sst>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2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5" applyNumberFormat="1" applyFont="1" applyAlignment="1" applyProtection="1">
      <alignment vertical="top" wrapText="1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1" fontId="4" fillId="35" borderId="21" xfId="65" applyNumberFormat="1" applyFont="1" applyFill="1" applyBorder="1" applyAlignment="1" applyProtection="1">
      <alignment horizontal="right" vertical="center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1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DECEMBER%202016\CONSOLIDATE\FO_SV_conso_20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ISE_Trial%20Balance_%20062017_inte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7_imte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CONSOLIDATE\Conso_Interim_Cash%20flow%2003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MARCH%202017\SEPARATE\Trial%20Balance_0316_imteri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_06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7\JUNE_2017\SEPARATE\Trial%20Balance_0617_imter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Trial%20Balance_0616_imteri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Consolidation_062016_interi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onso_Interim_Cash%20flow%2006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330</v>
          </cell>
        </row>
        <row r="14">
          <cell r="C14">
            <v>10415</v>
          </cell>
        </row>
        <row r="15">
          <cell r="C15">
            <v>0</v>
          </cell>
        </row>
        <row r="16">
          <cell r="C16">
            <v>6013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123</v>
          </cell>
        </row>
        <row r="21">
          <cell r="G21">
            <v>-313</v>
          </cell>
        </row>
        <row r="25">
          <cell r="C25">
            <v>4781</v>
          </cell>
        </row>
        <row r="26">
          <cell r="C26">
            <v>4</v>
          </cell>
        </row>
        <row r="27">
          <cell r="C27">
            <v>283892</v>
          </cell>
        </row>
        <row r="29">
          <cell r="G29">
            <v>161032</v>
          </cell>
        </row>
        <row r="32">
          <cell r="G32">
            <v>25097</v>
          </cell>
        </row>
        <row r="45">
          <cell r="G45">
            <v>28811</v>
          </cell>
        </row>
        <row r="49">
          <cell r="G49">
            <v>12624</v>
          </cell>
        </row>
        <row r="51">
          <cell r="C51">
            <v>290</v>
          </cell>
        </row>
        <row r="55">
          <cell r="C55">
            <v>6638</v>
          </cell>
        </row>
        <row r="59">
          <cell r="C59">
            <v>1064</v>
          </cell>
          <cell r="G59">
            <v>10099</v>
          </cell>
        </row>
        <row r="62">
          <cell r="G62">
            <v>76104</v>
          </cell>
        </row>
        <row r="64">
          <cell r="G64">
            <v>17496.13254380585</v>
          </cell>
        </row>
        <row r="66">
          <cell r="G66">
            <v>3873</v>
          </cell>
        </row>
        <row r="67">
          <cell r="G67">
            <v>651</v>
          </cell>
        </row>
        <row r="68">
          <cell r="C68">
            <v>14</v>
          </cell>
          <cell r="G68">
            <v>732</v>
          </cell>
        </row>
        <row r="69">
          <cell r="C69">
            <v>35266</v>
          </cell>
          <cell r="G69">
            <v>7176.2175652775</v>
          </cell>
        </row>
        <row r="70">
          <cell r="G70">
            <v>3552</v>
          </cell>
        </row>
        <row r="73">
          <cell r="C73">
            <v>81</v>
          </cell>
        </row>
        <row r="88">
          <cell r="C88">
            <v>52.18316</v>
          </cell>
        </row>
        <row r="89">
          <cell r="C89">
            <v>17444</v>
          </cell>
        </row>
      </sheetData>
      <sheetData sheetId="5">
        <row r="11">
          <cell r="J11">
            <v>185</v>
          </cell>
          <cell r="N11">
            <v>0</v>
          </cell>
        </row>
        <row r="12">
          <cell r="J12">
            <v>525</v>
          </cell>
          <cell r="N12">
            <v>195</v>
          </cell>
        </row>
        <row r="13">
          <cell r="J13">
            <v>29690</v>
          </cell>
          <cell r="N13">
            <v>19275</v>
          </cell>
        </row>
        <row r="14">
          <cell r="J14">
            <v>0</v>
          </cell>
          <cell r="N14">
            <v>0</v>
          </cell>
        </row>
        <row r="15">
          <cell r="J15">
            <v>14956</v>
          </cell>
          <cell r="N15">
            <v>8943</v>
          </cell>
        </row>
        <row r="16">
          <cell r="J16">
            <v>0</v>
          </cell>
          <cell r="N16">
            <v>0</v>
          </cell>
        </row>
        <row r="17">
          <cell r="J17">
            <v>0</v>
          </cell>
          <cell r="N17">
            <v>0</v>
          </cell>
        </row>
        <row r="18">
          <cell r="J18">
            <v>1186</v>
          </cell>
          <cell r="N18">
            <v>1063</v>
          </cell>
        </row>
        <row r="23">
          <cell r="G23">
            <v>0</v>
          </cell>
          <cell r="N23">
            <v>0</v>
          </cell>
        </row>
        <row r="24">
          <cell r="G24">
            <v>20085</v>
          </cell>
          <cell r="N24">
            <v>15304</v>
          </cell>
        </row>
        <row r="25">
          <cell r="G25">
            <v>21041</v>
          </cell>
          <cell r="N25">
            <v>21037</v>
          </cell>
        </row>
        <row r="26">
          <cell r="G26">
            <v>462869</v>
          </cell>
          <cell r="N26">
            <v>178977</v>
          </cell>
        </row>
        <row r="42">
          <cell r="J42">
            <v>557930</v>
          </cell>
          <cell r="N42">
            <v>252187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urnal - English"/>
      <sheetName val="Sheet1"/>
      <sheetName val="ID2014"/>
      <sheetName val="ajur"/>
      <sheetName val="CODES"/>
      <sheetName val="IAS"/>
      <sheetName val="Cash flow face"/>
      <sheetName val="Cash Flow (2)"/>
      <sheetName val="Cash Flow"/>
      <sheetName val="PL"/>
      <sheetName val="BS"/>
      <sheetName val="Notes 1-7"/>
      <sheetName val="Notes 10,11,12,13,16,17"/>
      <sheetName val="Notes 14,18"/>
      <sheetName val="Note 22"/>
      <sheetName val="40601"/>
      <sheetName val="70"/>
      <sheetName val="DAP"/>
      <sheetName val="otpuski"/>
      <sheetName val="45201"/>
      <sheetName val="vanshni "/>
      <sheetName val="bonus"/>
      <sheetName val="pensii"/>
      <sheetName val="49901"/>
      <sheetName val="69903"/>
      <sheetName val="40101"/>
      <sheetName val="25201"/>
      <sheetName val="70101"/>
      <sheetName val="Sheet2"/>
      <sheetName val="Sheet3"/>
    </sheetNames>
    <sheetDataSet>
      <sheetData sheetId="3">
        <row r="50">
          <cell r="L50">
            <v>15516.44</v>
          </cell>
        </row>
        <row r="54">
          <cell r="L54">
            <v>5003.75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Dec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ISPA"/>
      <sheetName val="Sheet2"/>
    </sheetNames>
    <sheetDataSet>
      <sheetData sheetId="7">
        <row r="69">
          <cell r="C69">
            <v>0</v>
          </cell>
        </row>
        <row r="77">
          <cell r="C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7"/>
      <sheetName val="CF_SV2017"/>
      <sheetName val="CF_WISE2016"/>
      <sheetName val="adjustment"/>
    </sheetNames>
    <sheetDataSet>
      <sheetData sheetId="0">
        <row r="51">
          <cell r="O51">
            <v>17495.926587999995</v>
          </cell>
          <cell r="Q51">
            <v>17002.55536058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7">
        <row r="69">
          <cell r="C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CE"/>
      <sheetName val="BS_KFN"/>
    </sheetNames>
    <sheetDataSet>
      <sheetData sheetId="1">
        <row r="72">
          <cell r="X72">
            <v>-186130</v>
          </cell>
        </row>
      </sheetData>
      <sheetData sheetId="3">
        <row r="32">
          <cell r="I32">
            <v>-309</v>
          </cell>
        </row>
        <row r="41">
          <cell r="Y41">
            <v>0</v>
          </cell>
        </row>
      </sheetData>
      <sheetData sheetId="4">
        <row r="7">
          <cell r="M7">
            <v>71582</v>
          </cell>
          <cell r="N7">
            <v>63866</v>
          </cell>
        </row>
        <row r="8">
          <cell r="M8">
            <v>1679</v>
          </cell>
          <cell r="N8">
            <v>1056</v>
          </cell>
        </row>
        <row r="9">
          <cell r="M9">
            <v>13083</v>
          </cell>
          <cell r="N9">
            <v>13385</v>
          </cell>
        </row>
        <row r="12">
          <cell r="M12">
            <v>-4269</v>
          </cell>
          <cell r="N12">
            <v>-4300</v>
          </cell>
        </row>
        <row r="13">
          <cell r="M13">
            <v>-12866</v>
          </cell>
          <cell r="N13">
            <v>-11516</v>
          </cell>
        </row>
        <row r="14">
          <cell r="M14">
            <v>-17947</v>
          </cell>
          <cell r="N14">
            <v>-15707</v>
          </cell>
        </row>
        <row r="15">
          <cell r="M15">
            <v>-10226</v>
          </cell>
          <cell r="N15">
            <v>-8938</v>
          </cell>
        </row>
        <row r="16">
          <cell r="M16">
            <v>-2538</v>
          </cell>
          <cell r="N16">
            <v>-2247</v>
          </cell>
        </row>
        <row r="17">
          <cell r="M17">
            <v>-4395</v>
          </cell>
          <cell r="N17">
            <v>-3491</v>
          </cell>
        </row>
        <row r="18">
          <cell r="M18">
            <v>-1724</v>
          </cell>
          <cell r="N18">
            <v>-2875</v>
          </cell>
        </row>
        <row r="19">
          <cell r="M19">
            <v>-13083</v>
          </cell>
          <cell r="N19">
            <v>-13385</v>
          </cell>
        </row>
        <row r="27">
          <cell r="G27">
            <v>-1185</v>
          </cell>
          <cell r="M27">
            <v>14876</v>
          </cell>
        </row>
        <row r="28">
          <cell r="G28">
            <v>-479</v>
          </cell>
        </row>
      </sheetData>
      <sheetData sheetId="16">
        <row r="5">
          <cell r="E5">
            <v>43</v>
          </cell>
        </row>
        <row r="6">
          <cell r="E6">
            <v>19</v>
          </cell>
        </row>
        <row r="8">
          <cell r="E8">
            <v>25475</v>
          </cell>
        </row>
        <row r="9">
          <cell r="E9">
            <v>202</v>
          </cell>
        </row>
      </sheetData>
      <sheetData sheetId="17">
        <row r="5">
          <cell r="S5">
            <v>19381.037886744147</v>
          </cell>
        </row>
        <row r="6">
          <cell r="Q6">
            <v>3799</v>
          </cell>
        </row>
        <row r="7">
          <cell r="S7">
            <v>5985.267041426414</v>
          </cell>
        </row>
        <row r="12">
          <cell r="Q12">
            <v>729</v>
          </cell>
        </row>
        <row r="16">
          <cell r="Q16">
            <v>1457.12757</v>
          </cell>
        </row>
        <row r="17">
          <cell r="Q17">
            <v>222.60488</v>
          </cell>
        </row>
      </sheetData>
      <sheetData sheetId="27">
        <row r="5">
          <cell r="C5">
            <v>6158</v>
          </cell>
        </row>
        <row r="6">
          <cell r="C6">
            <v>220</v>
          </cell>
        </row>
        <row r="10">
          <cell r="C10">
            <v>2142</v>
          </cell>
        </row>
        <row r="11">
          <cell r="C11">
            <v>40495</v>
          </cell>
        </row>
        <row r="12">
          <cell r="C12">
            <v>310</v>
          </cell>
        </row>
        <row r="13">
          <cell r="C13">
            <v>2</v>
          </cell>
        </row>
        <row r="21">
          <cell r="C21">
            <v>8884</v>
          </cell>
        </row>
        <row r="22">
          <cell r="C22">
            <v>10774</v>
          </cell>
        </row>
        <row r="28">
          <cell r="C28">
            <v>22501</v>
          </cell>
        </row>
        <row r="29">
          <cell r="C29">
            <v>1531</v>
          </cell>
        </row>
        <row r="30">
          <cell r="C30">
            <v>1084</v>
          </cell>
        </row>
        <row r="31">
          <cell r="C31">
            <v>2695</v>
          </cell>
        </row>
        <row r="32">
          <cell r="C32">
            <v>8409</v>
          </cell>
        </row>
        <row r="37">
          <cell r="C37">
            <v>784</v>
          </cell>
        </row>
        <row r="38">
          <cell r="C38">
            <v>152</v>
          </cell>
        </row>
        <row r="39">
          <cell r="C39">
            <v>0</v>
          </cell>
        </row>
        <row r="40">
          <cell r="C40">
            <v>3954</v>
          </cell>
        </row>
        <row r="42">
          <cell r="C42">
            <v>3146</v>
          </cell>
        </row>
        <row r="43">
          <cell r="C43">
            <v>422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accrual revenue"/>
      <sheetName val="NoteP&amp;L"/>
      <sheetName val="NoteBS"/>
      <sheetName val="FInst, loans"/>
      <sheetName val="loans_short_long"/>
      <sheetName val="loans"/>
      <sheetName val="WP_2017_Jun"/>
      <sheetName val="PPE note"/>
      <sheetName val="IA note"/>
      <sheetName val="22"/>
      <sheetName val="VEBulgaria"/>
      <sheetName val="VEVarna"/>
      <sheetName val="VESalution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  <sheetName val="VIK"/>
      <sheetName val="ISPA"/>
    </sheetNames>
    <sheetDataSet>
      <sheetData sheetId="3">
        <row r="134">
          <cell r="G134">
            <v>288958.15920653124</v>
          </cell>
        </row>
      </sheetData>
      <sheetData sheetId="6">
        <row r="36">
          <cell r="U36">
            <v>1531</v>
          </cell>
        </row>
        <row r="44">
          <cell r="U44">
            <v>784</v>
          </cell>
        </row>
      </sheetData>
      <sheetData sheetId="8">
        <row r="75">
          <cell r="C75">
            <v>732</v>
          </cell>
        </row>
        <row r="82">
          <cell r="C82">
            <v>-347829.66</v>
          </cell>
        </row>
        <row r="83">
          <cell r="C83">
            <v>-1869129.89</v>
          </cell>
        </row>
        <row r="85">
          <cell r="C85">
            <v>-36999.68</v>
          </cell>
        </row>
        <row r="86">
          <cell r="C86">
            <v>-9178.5</v>
          </cell>
        </row>
        <row r="87">
          <cell r="C87">
            <v>0</v>
          </cell>
        </row>
        <row r="88">
          <cell r="C88">
            <v>-444956.88338024315</v>
          </cell>
        </row>
        <row r="89">
          <cell r="C89">
            <v>-23808</v>
          </cell>
        </row>
        <row r="90">
          <cell r="C90">
            <v>-26621.1</v>
          </cell>
        </row>
      </sheetData>
      <sheetData sheetId="9">
        <row r="107">
          <cell r="C107">
            <v>3157</v>
          </cell>
          <cell r="D107">
            <v>0</v>
          </cell>
          <cell r="E107">
            <v>-11</v>
          </cell>
          <cell r="F107">
            <v>0</v>
          </cell>
        </row>
      </sheetData>
      <sheetData sheetId="11">
        <row r="39">
          <cell r="G39">
            <v>8852306.534076273</v>
          </cell>
        </row>
        <row r="40">
          <cell r="G40">
            <v>71517801.49080727</v>
          </cell>
        </row>
        <row r="43">
          <cell r="G43">
            <v>31353048.38987331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jur"/>
      <sheetName val="codes"/>
      <sheetName val="IAS"/>
      <sheetName val="Sheet1"/>
      <sheetName val="Adj and reclassifications"/>
      <sheetName val="PL_KPMG"/>
      <sheetName val="BS_KPMG (2)"/>
      <sheetName val="NoteP&amp;L"/>
      <sheetName val="NoteBS"/>
      <sheetName val="FInst, loans"/>
      <sheetName val="loans_short_long"/>
      <sheetName val="loans"/>
      <sheetName val="WP_2016_Jun"/>
      <sheetName val="PPE note"/>
      <sheetName val="IA note"/>
      <sheetName val="22"/>
      <sheetName val="14,18"/>
      <sheetName val="Carbocreditand advTP"/>
      <sheetName val="ERPA"/>
      <sheetName val="PL_KPMG (2)"/>
      <sheetName val="Revenue note"/>
      <sheetName val="40113"/>
      <sheetName val="bonus"/>
      <sheetName val="454 acr"/>
      <sheetName val="401"/>
      <sheetName val="411"/>
      <sheetName val="492"/>
      <sheetName val="49911,40"/>
      <sheetName val="498"/>
      <sheetName val="WISE"/>
    </sheetNames>
    <sheetDataSet>
      <sheetData sheetId="7">
        <row r="82">
          <cell r="C82">
            <v>-455465.73</v>
          </cell>
        </row>
        <row r="83">
          <cell r="C83">
            <v>-2179626.44</v>
          </cell>
        </row>
        <row r="85">
          <cell r="C85">
            <v>-58454.82</v>
          </cell>
        </row>
        <row r="87">
          <cell r="C87">
            <v>0</v>
          </cell>
        </row>
        <row r="88">
          <cell r="C88">
            <v>-624914.8518716022</v>
          </cell>
        </row>
        <row r="89">
          <cell r="C89">
            <v>-19202</v>
          </cell>
        </row>
        <row r="90">
          <cell r="C90">
            <v>-9129.58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CF2012"/>
      <sheetName val="CF consol"/>
      <sheetName val="CF SV"/>
      <sheetName val="CFWISE"/>
      <sheetName val="1"/>
      <sheetName val="2"/>
      <sheetName val="4"/>
      <sheetName val="5"/>
      <sheetName val="6"/>
      <sheetName val="7"/>
      <sheetName val="12"/>
      <sheetName val="13"/>
      <sheetName val="17"/>
      <sheetName val="18.1"/>
      <sheetName val="22"/>
      <sheetName val="19"/>
      <sheetName val="NotaFA"/>
      <sheetName val="Sheet2"/>
      <sheetName val="Sheet3"/>
      <sheetName val="Sheet4"/>
      <sheetName val="Sheet5"/>
      <sheetName val="Sheet6"/>
    </sheetNames>
    <sheetDataSet>
      <sheetData sheetId="4">
        <row r="27">
          <cell r="G27">
            <v>-1440</v>
          </cell>
        </row>
        <row r="28">
          <cell r="G28">
            <v>164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17"/>
      <sheetName val="CF_SV2017"/>
      <sheetName val="CF_WISE2016"/>
      <sheetName val="adjustment"/>
    </sheetNames>
    <sheetDataSet>
      <sheetData sheetId="0">
        <row r="12">
          <cell r="O12">
            <v>78165.67438666667</v>
          </cell>
          <cell r="Q12">
            <v>73093.95103</v>
          </cell>
        </row>
        <row r="14">
          <cell r="O14">
            <v>-14455.33703</v>
          </cell>
          <cell r="Q14">
            <v>-13497.52594</v>
          </cell>
        </row>
        <row r="15">
          <cell r="O15">
            <v>-949.4778666666666</v>
          </cell>
          <cell r="Q15">
            <v>-1190.97479</v>
          </cell>
        </row>
        <row r="16">
          <cell r="O16">
            <v>-7156.66855</v>
          </cell>
          <cell r="Q16">
            <v>-7615.154933333336</v>
          </cell>
        </row>
        <row r="17">
          <cell r="O17">
            <v>-1068</v>
          </cell>
          <cell r="Q17">
            <v>-1010.0914600000001</v>
          </cell>
        </row>
        <row r="18">
          <cell r="O18">
            <v>-1496</v>
          </cell>
          <cell r="Q18">
            <v>0</v>
          </cell>
        </row>
        <row r="19">
          <cell r="O19">
            <v>-921</v>
          </cell>
          <cell r="Q19">
            <v>-865.3399916666668</v>
          </cell>
        </row>
        <row r="20">
          <cell r="O20">
            <v>-135</v>
          </cell>
          <cell r="Q20">
            <v>-134.39020000000002</v>
          </cell>
        </row>
        <row r="21">
          <cell r="O21">
            <v>-2828.25804</v>
          </cell>
          <cell r="Q21">
            <v>-2316.0258433333374</v>
          </cell>
        </row>
        <row r="22">
          <cell r="O22">
            <v>-2370.784646333331</v>
          </cell>
          <cell r="Q22">
            <v>-2514.536701666667</v>
          </cell>
        </row>
        <row r="30">
          <cell r="O30">
            <v>-11614.21853</v>
          </cell>
          <cell r="Q30">
            <v>-11498.170244</v>
          </cell>
        </row>
        <row r="34">
          <cell r="O34">
            <v>-10362</v>
          </cell>
          <cell r="Q34">
            <v>-12388.439183999999</v>
          </cell>
        </row>
        <row r="36">
          <cell r="O36">
            <v>-1926.14645</v>
          </cell>
          <cell r="Q36">
            <v>-2288.83841</v>
          </cell>
        </row>
        <row r="37">
          <cell r="O37">
            <v>-6552.60853</v>
          </cell>
          <cell r="Q37">
            <v>-6134.3873699999995</v>
          </cell>
        </row>
        <row r="38">
          <cell r="O38">
            <v>-282.14109</v>
          </cell>
          <cell r="Q38">
            <v>-92.96686999999999</v>
          </cell>
        </row>
        <row r="41">
          <cell r="O41">
            <v>-210</v>
          </cell>
          <cell r="Q41">
            <v>-317.29373</v>
          </cell>
        </row>
        <row r="42">
          <cell r="O42">
            <v>-1759</v>
          </cell>
          <cell r="Q42">
            <v>-2109.94027</v>
          </cell>
        </row>
        <row r="43">
          <cell r="O43">
            <v>35</v>
          </cell>
          <cell r="Q43">
            <v>71.57596</v>
          </cell>
        </row>
        <row r="44">
          <cell r="O44">
            <v>-1339</v>
          </cell>
          <cell r="Q44">
            <v>-772.59937</v>
          </cell>
        </row>
        <row r="47">
          <cell r="O47">
            <v>-4531.658109999999</v>
          </cell>
          <cell r="Q47">
            <v>-4531.658109999999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3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42916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42970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0.1722875938108033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0.06750955281047769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0.09497721625214944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0.03946087468599213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1.2369457775231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0.5704649952001305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0.552675337330944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0.21376657511437455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0.21376657511437455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0.28397307083869144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0.22904072088513744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0.14116785021085534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0.7107973414513491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0.415477271740938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18803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0.08533087668025087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0.42561815970814754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4.261960200766546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320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9832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5531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153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141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16162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4479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4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281270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285753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220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220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6158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308293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2142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2142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40495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310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40807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25677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25739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68688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376981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-309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10465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186129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186129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14876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201005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220354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24032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12188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36220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36220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9636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101061.77033674414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75472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19382.037886744147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3799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729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1679.7324500000002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6563.267041426414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3146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120407.03737817056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120407.03737817056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376981.0373781705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4269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12866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17947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10226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2538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19202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4395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67048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2263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27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467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2757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69805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16540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69805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16540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1664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1185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479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14876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14876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86345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73261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13083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86344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86345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86345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86345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78166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-14455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-6835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-1926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-28540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26410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-10362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-10362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-4532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-1339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-1969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35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-7805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8243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17495.926587999995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25738.926587999995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25738.926587999995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475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-313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-313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4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4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-309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-309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186129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186129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14876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201005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201005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205474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205474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14876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220354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220354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525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29690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14956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1186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46542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20085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462869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503995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557930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636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196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1018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33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1883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30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25973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26003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27886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33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524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865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1422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12889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12889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14311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525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30293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14628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153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1219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47003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20115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475953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517109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571505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525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30293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14628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153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1219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47003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20115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475953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517109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571505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195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19275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8943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1063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29476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15304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21037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178977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215318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252187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1210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677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15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1912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332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15706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16038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17950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24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523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547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547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205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20461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9097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1078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30841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15636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21037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194683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231356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269590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205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20461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9097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1078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30841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15636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21037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194683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231356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269590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320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9832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5531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153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141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16162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4479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4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281270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285753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301915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220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220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220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6158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2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40495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310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305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40807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47185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2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40495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310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305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40807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40807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220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220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220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6158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6378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31353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31353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14503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2315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45856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75472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75472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25590.037886744147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19382.037886744147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3799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1680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1457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223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729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6563.267041426414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107625.30492817056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153481.30492817058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8852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8852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784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784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9636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75472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75472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25590.037886744147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19382.037886744147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3799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1680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1457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223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729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6563.267041426414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107625.30492817056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117261.30492817056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22501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22501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13719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1531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36220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36220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3157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3157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11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11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3146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3146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49" sqref="G4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'[1]1-Баланс'!$C12</f>
        <v>185</v>
      </c>
      <c r="E12" s="84" t="s">
        <v>25</v>
      </c>
      <c r="F12" s="87" t="s">
        <v>26</v>
      </c>
      <c r="G12" s="188">
        <f>'[5]BS_KFN'!C$21</f>
        <v>8884</v>
      </c>
      <c r="H12" s="187">
        <f>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320</v>
      </c>
      <c r="D13" s="187">
        <f>'[1]1-Баланс'!$C13</f>
        <v>330</v>
      </c>
      <c r="E13" s="84" t="s">
        <v>821</v>
      </c>
      <c r="F13" s="87" t="s">
        <v>29</v>
      </c>
      <c r="G13" s="188">
        <f>'[5]BS_KFN'!C$21</f>
        <v>8884</v>
      </c>
      <c r="H13" s="187">
        <f>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9832</v>
      </c>
      <c r="D14" s="187">
        <f>'[1]1-Баланс'!$C14</f>
        <v>10415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'[1]1-Баланс'!$C15</f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5531</v>
      </c>
      <c r="D16" s="187">
        <f>'[1]1-Баланс'!$C16</f>
        <v>6013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'[1]1-Баланс'!$C17</f>
        <v>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153</v>
      </c>
      <c r="D18" s="187">
        <f>'[1]1-Баланс'!$C18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141</v>
      </c>
      <c r="D19" s="187">
        <f>'[1]1-Баланс'!$C19</f>
        <v>123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16162</v>
      </c>
      <c r="D20" s="567">
        <f>SUM(D12:D19)</f>
        <v>17066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'[5]BS'!$I$32</f>
        <v>-309</v>
      </c>
      <c r="H21" s="187">
        <f>'[1]1-Баланс'!$G$21</f>
        <v>-313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'[5]BS_KFN'!$C$22</f>
        <v>10774</v>
      </c>
      <c r="H23" s="187">
        <f>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4479</v>
      </c>
      <c r="D25" s="187">
        <f>'[1]1-Баланс'!$C25</f>
        <v>4781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4</v>
      </c>
      <c r="D26" s="187">
        <f>'[1]1-Баланс'!$C26</f>
        <v>4</v>
      </c>
      <c r="E26" s="471" t="s">
        <v>77</v>
      </c>
      <c r="F26" s="89" t="s">
        <v>78</v>
      </c>
      <c r="G26" s="566">
        <f>G20+G21+G22</f>
        <v>10465</v>
      </c>
      <c r="H26" s="567">
        <f>H20+H21+H22</f>
        <v>10461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281270</v>
      </c>
      <c r="D27" s="187">
        <f>'[1]1-Баланс'!$C27</f>
        <v>283892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285753</v>
      </c>
      <c r="D28" s="567">
        <f>SUM(D24:D27)</f>
        <v>288677</v>
      </c>
      <c r="E28" s="193" t="s">
        <v>84</v>
      </c>
      <c r="F28" s="87" t="s">
        <v>85</v>
      </c>
      <c r="G28" s="564">
        <f>SUM(G29:G31)</f>
        <v>186129</v>
      </c>
      <c r="H28" s="565">
        <f>SUM(H29:H31)</f>
        <v>161032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-ROUND('[5]Consolidation_PL_BS'!$X$72,0)-1</f>
        <v>186129</v>
      </c>
      <c r="H29" s="187">
        <f>'[1]1-Баланс'!$G$29</f>
        <v>161032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'[5]PL'!M$27</f>
        <v>14876</v>
      </c>
      <c r="H32" s="187">
        <f>'[1]1-Баланс'!$G$32</f>
        <v>25097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201005</v>
      </c>
      <c r="H34" s="567">
        <f>H28+H32+H33</f>
        <v>186129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220354</v>
      </c>
      <c r="H37" s="569">
        <f>H26+H18+H34</f>
        <v>205474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'[5]BS_KFN'!C$28+'[5]BS_KFN'!C$29</f>
        <v>24032</v>
      </c>
      <c r="H45" s="187">
        <f>'[1]1-Баланс'!$G45</f>
        <v>28811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'[5]BS_KFN'!C$30+'[5]BS_KFN'!C$31+'[5]BS_KFN'!C$32</f>
        <v>12188</v>
      </c>
      <c r="H49" s="187">
        <f>'[1]1-Баланс'!$G49</f>
        <v>12624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36220</v>
      </c>
      <c r="H50" s="565">
        <f>SUM(H44:H49)</f>
        <v>41435</v>
      </c>
    </row>
    <row r="51" spans="1:8" ht="15.75">
      <c r="A51" s="84" t="s">
        <v>79</v>
      </c>
      <c r="B51" s="86" t="s">
        <v>155</v>
      </c>
      <c r="C51" s="188">
        <f>'[5]BS_KFN'!C$6</f>
        <v>220</v>
      </c>
      <c r="D51" s="187">
        <f>'[1]1-Баланс'!$C$51</f>
        <v>290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220</v>
      </c>
      <c r="D52" s="567">
        <f>SUM(D48:D51)</f>
        <v>290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'[5]BS_KFN'!C$5</f>
        <v>6158</v>
      </c>
      <c r="D55" s="466">
        <f>'[1]1-Баланс'!$C$55</f>
        <v>6638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308293</v>
      </c>
      <c r="D56" s="571">
        <f>D20+D21+D22+D28+D33+D46+D52+D54+D55</f>
        <v>312671</v>
      </c>
      <c r="E56" s="94" t="s">
        <v>825</v>
      </c>
      <c r="F56" s="93" t="s">
        <v>172</v>
      </c>
      <c r="G56" s="568">
        <f>G50+G52+G53+G54+G55</f>
        <v>36220</v>
      </c>
      <c r="H56" s="569">
        <f>H50+H52+H53+H54+H55</f>
        <v>41435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'[5]BS_KFN'!C$10</f>
        <v>2142</v>
      </c>
      <c r="D59" s="187">
        <f>'[1]1-Баланс'!$C$59</f>
        <v>1064</v>
      </c>
      <c r="E59" s="192" t="s">
        <v>180</v>
      </c>
      <c r="F59" s="473" t="s">
        <v>181</v>
      </c>
      <c r="G59" s="188">
        <f>ROUND('[5]BS_KFN'!C$37+'[6]loans_short_long'!$G$39/1000,0)</f>
        <v>9636</v>
      </c>
      <c r="H59" s="187">
        <f>'[1]1-Баланс'!$G$59</f>
        <v>10099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101061.77033674414</v>
      </c>
      <c r="H61" s="565">
        <f>SUM(H62:H68)</f>
        <v>98856.13254380584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ROUND('[5]BS_KFN'!$C$40,0)+ROUND('[6]loans_short_long'!$G$40/1000,0)</f>
        <v>75472</v>
      </c>
      <c r="H62" s="187">
        <f>'[1]1-Баланс'!$G62</f>
        <v>76104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f>'[1]1-Баланс'!$G63</f>
        <v>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'[5]17'!$S$5+1</f>
        <v>19382.037886744147</v>
      </c>
      <c r="H64" s="187">
        <f>'[1]1-Баланс'!$G64</f>
        <v>17496.13254380585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2142</v>
      </c>
      <c r="D65" s="567">
        <f>SUM(D59:D64)</f>
        <v>1064</v>
      </c>
      <c r="E65" s="84" t="s">
        <v>201</v>
      </c>
      <c r="F65" s="87" t="s">
        <v>202</v>
      </c>
      <c r="G65" s="188"/>
      <c r="H65" s="187">
        <f>'[1]1-Баланс'!$G65</f>
        <v>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'[5]17'!$Q$6</f>
        <v>3799</v>
      </c>
      <c r="H66" s="187">
        <f>'[1]1-Баланс'!$G66</f>
        <v>3873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'[5]17'!$Q$12</f>
        <v>729</v>
      </c>
      <c r="H67" s="187">
        <f>'[1]1-Баланс'!$G67</f>
        <v>651</v>
      </c>
    </row>
    <row r="68" spans="1:8" ht="15.75">
      <c r="A68" s="84" t="s">
        <v>206</v>
      </c>
      <c r="B68" s="86" t="s">
        <v>207</v>
      </c>
      <c r="C68" s="188">
        <f>'[5]BS_KFN'!C$13</f>
        <v>2</v>
      </c>
      <c r="D68" s="187">
        <f>'[1]1-Баланс'!$C68</f>
        <v>14</v>
      </c>
      <c r="E68" s="84" t="s">
        <v>212</v>
      </c>
      <c r="F68" s="87" t="s">
        <v>213</v>
      </c>
      <c r="G68" s="188">
        <f>'[5]17'!$Q$16+'[5]17'!$Q$17+'[5]BS_KFN'!$C$39</f>
        <v>1679.7324500000002</v>
      </c>
      <c r="H68" s="187">
        <f>'[1]1-Баланс'!$G68</f>
        <v>732</v>
      </c>
    </row>
    <row r="69" spans="1:8" ht="15.75">
      <c r="A69" s="84" t="s">
        <v>210</v>
      </c>
      <c r="B69" s="86" t="s">
        <v>211</v>
      </c>
      <c r="C69" s="188">
        <f>'[5]BS_KFN'!C$11</f>
        <v>40495</v>
      </c>
      <c r="D69" s="187">
        <f>'[1]1-Баланс'!$C69</f>
        <v>35266</v>
      </c>
      <c r="E69" s="192" t="s">
        <v>79</v>
      </c>
      <c r="F69" s="87" t="s">
        <v>216</v>
      </c>
      <c r="G69" s="188">
        <f>'[5]17'!$S$7+'[5]BS_KFN'!$C$38++'[5]BS_KFN'!C$43+4</f>
        <v>6563.267041426414</v>
      </c>
      <c r="H69" s="187">
        <f>'[1]1-Баланс'!$G69</f>
        <v>7176.2175652775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f>'[5]BS_KFN'!C$42</f>
        <v>3146</v>
      </c>
      <c r="H70" s="187">
        <f>'[1]1-Баланс'!$G70</f>
        <v>3552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120407.03737817056</v>
      </c>
      <c r="H71" s="567">
        <f>H59+H60+H61+H69+H70</f>
        <v>119683.35010908335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'[5]BS_KFN'!C$12</f>
        <v>310</v>
      </c>
      <c r="D73" s="187">
        <f>'[1]1-Баланс'!$C73</f>
        <v>81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40807</v>
      </c>
      <c r="D76" s="567">
        <f>SUM(D68:D75)</f>
        <v>35361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120407.03737817056</v>
      </c>
      <c r="H79" s="569">
        <f>H71+H73+H75+H77</f>
        <v>119683.35010908335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'[5]13'!$E$5+'[5]13'!$E$6</f>
        <v>62</v>
      </c>
      <c r="D88" s="187">
        <f>'[1]1-Баланс'!$C88</f>
        <v>52.18316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'[5]13'!$E$8+'[5]13'!$E$9</f>
        <v>25677</v>
      </c>
      <c r="D89" s="187">
        <f>'[1]1-Баланс'!$C89</f>
        <v>17444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>
        <f>'[1]1-Баланс'!$C90</f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f>'[1]1-Баланс'!$C91</f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25739</v>
      </c>
      <c r="D92" s="567">
        <f>SUM(D88:D91)</f>
        <v>17496.18316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68688</v>
      </c>
      <c r="D94" s="571">
        <f>D65+D76+D85+D92+D93</f>
        <v>53921.18316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376981</v>
      </c>
      <c r="D95" s="573">
        <f>D94+D56</f>
        <v>366592.18316</v>
      </c>
      <c r="E95" s="220" t="s">
        <v>916</v>
      </c>
      <c r="F95" s="476" t="s">
        <v>268</v>
      </c>
      <c r="G95" s="572">
        <f>G37+G40+G56+G79</f>
        <v>376981.0373781705</v>
      </c>
      <c r="H95" s="573">
        <f>H37+H40+H56+H79</f>
        <v>366592.35010908335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5">
        <f>pdeReportingDate</f>
        <v>42970</v>
      </c>
      <c r="C98" s="675"/>
      <c r="D98" s="675"/>
      <c r="E98" s="675"/>
      <c r="F98" s="675"/>
      <c r="G98" s="675"/>
      <c r="H98" s="675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6" t="str">
        <f>authorName</f>
        <v>Анелия Илиева Илиева</v>
      </c>
      <c r="C100" s="676"/>
      <c r="D100" s="676"/>
      <c r="E100" s="676"/>
      <c r="F100" s="676"/>
      <c r="G100" s="676"/>
      <c r="H100" s="676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7"/>
      <c r="C102" s="677"/>
      <c r="D102" s="677"/>
      <c r="E102" s="677"/>
      <c r="F102" s="677"/>
      <c r="G102" s="677"/>
      <c r="H102" s="677"/>
    </row>
    <row r="103" spans="1:13" ht="21.75" customHeight="1">
      <c r="A103" s="663"/>
      <c r="B103" s="678" t="str">
        <f>Начална!B17</f>
        <v>Арно Филип Франсоа Валто де Мулиак </v>
      </c>
      <c r="C103" s="673"/>
      <c r="D103" s="673"/>
      <c r="E103" s="673"/>
      <c r="M103" s="92"/>
    </row>
    <row r="104" spans="1:5" ht="21.75" customHeight="1">
      <c r="A104" s="663"/>
      <c r="B104" s="673" t="s">
        <v>952</v>
      </c>
      <c r="C104" s="673"/>
      <c r="D104" s="673"/>
      <c r="E104" s="673"/>
    </row>
    <row r="105" spans="1:13" ht="21.75" customHeight="1">
      <c r="A105" s="663"/>
      <c r="B105" s="674">
        <f>G95-B106</f>
        <v>0.037378170527517796</v>
      </c>
      <c r="C105" s="673"/>
      <c r="D105" s="673"/>
      <c r="E105" s="673"/>
      <c r="M105" s="92"/>
    </row>
    <row r="106" spans="1:5" ht="21.75" customHeight="1">
      <c r="A106" s="663"/>
      <c r="B106" s="673">
        <v>376981</v>
      </c>
      <c r="C106" s="673"/>
      <c r="D106" s="673"/>
      <c r="E106" s="673"/>
    </row>
    <row r="107" spans="1:13" ht="21.75" customHeight="1">
      <c r="A107" s="663"/>
      <c r="B107" s="674">
        <f>B106-C95</f>
        <v>0</v>
      </c>
      <c r="C107" s="673"/>
      <c r="D107" s="673"/>
      <c r="E107" s="673"/>
      <c r="M107" s="92"/>
    </row>
    <row r="108" spans="1:5" ht="21.75" customHeight="1">
      <c r="A108" s="663"/>
      <c r="B108" s="674">
        <f>C95-G95</f>
        <v>-0.037378170527517796</v>
      </c>
      <c r="C108" s="673"/>
      <c r="D108" s="673"/>
      <c r="E108" s="673"/>
    </row>
    <row r="109" spans="1:13" ht="21.75" customHeight="1">
      <c r="A109" s="663"/>
      <c r="B109" s="674">
        <f>H95-D95</f>
        <v>0.16694908333010972</v>
      </c>
      <c r="C109" s="673"/>
      <c r="D109" s="673"/>
      <c r="E109" s="673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49" sqref="E4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-'[5]PL'!M12</f>
        <v>4269</v>
      </c>
      <c r="D12" s="307">
        <f>-'[5]PL'!N12</f>
        <v>4300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f>-'[5]PL'!M13</f>
        <v>12866</v>
      </c>
      <c r="D13" s="307">
        <f>-'[5]PL'!N13</f>
        <v>11516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f>-'[5]PL'!M14</f>
        <v>17947</v>
      </c>
      <c r="D14" s="307">
        <f>-'[5]PL'!N14</f>
        <v>15707</v>
      </c>
      <c r="E14" s="236" t="s">
        <v>285</v>
      </c>
      <c r="F14" s="231" t="s">
        <v>286</v>
      </c>
      <c r="G14" s="307">
        <f>'[5]PL'!M$7+'[5]PL'!M$8</f>
        <v>73261</v>
      </c>
      <c r="H14" s="307">
        <f>'[5]PL'!N$7+'[5]PL'!N$8</f>
        <v>64922</v>
      </c>
    </row>
    <row r="15" spans="1:8" ht="15.75">
      <c r="A15" s="185" t="s">
        <v>287</v>
      </c>
      <c r="B15" s="181" t="s">
        <v>288</v>
      </c>
      <c r="C15" s="307">
        <f>-'[5]PL'!M15</f>
        <v>10226</v>
      </c>
      <c r="D15" s="307">
        <f>-'[5]PL'!N15</f>
        <v>8938</v>
      </c>
      <c r="E15" s="236" t="s">
        <v>79</v>
      </c>
      <c r="F15" s="231" t="s">
        <v>289</v>
      </c>
      <c r="G15" s="307">
        <f>'[5]PL'!M$9</f>
        <v>13083</v>
      </c>
      <c r="H15" s="308">
        <f>'[5]PL'!N$9</f>
        <v>13385</v>
      </c>
    </row>
    <row r="16" spans="1:8" ht="15.75">
      <c r="A16" s="185" t="s">
        <v>290</v>
      </c>
      <c r="B16" s="181" t="s">
        <v>291</v>
      </c>
      <c r="C16" s="307">
        <f>-'[5]PL'!M16</f>
        <v>2538</v>
      </c>
      <c r="D16" s="307">
        <f>-'[5]PL'!N16</f>
        <v>2247</v>
      </c>
      <c r="E16" s="227" t="s">
        <v>52</v>
      </c>
      <c r="F16" s="255" t="s">
        <v>292</v>
      </c>
      <c r="G16" s="597">
        <f>SUM(G12:G15)</f>
        <v>86344</v>
      </c>
      <c r="H16" s="598">
        <f>SUM(H12:H15)</f>
        <v>78307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-('[5]PL'!M$17+'[5]PL'!M$18+'[5]PL'!M$19)</f>
        <v>19202</v>
      </c>
      <c r="D19" s="307">
        <f>-('[5]PL'!N$17+'[5]PL'!N$18+'[5]PL'!N$19)</f>
        <v>19751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-'[5]PL'!M$17</f>
        <v>4395</v>
      </c>
      <c r="D20" s="307">
        <f>-'[5]PL'!N$17</f>
        <v>3491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'[2]NoteP&amp;L'!$C$69</f>
        <v>0</v>
      </c>
      <c r="D21" s="308">
        <f>'[4]NoteP&amp;L'!$C$69</f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67048</v>
      </c>
      <c r="D22" s="598">
        <f>SUM(D12:D18)+D19</f>
        <v>62459</v>
      </c>
      <c r="E22" s="185" t="s">
        <v>309</v>
      </c>
      <c r="F22" s="228" t="s">
        <v>310</v>
      </c>
      <c r="G22" s="307">
        <f>ROUND('[6]NoteP&amp;L'!$C$75/1000,0)</f>
        <v>1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f>-ROUND(SUM('[6]NoteP&amp;L'!$C$82:$C$86)/1000,0)</f>
        <v>2263</v>
      </c>
      <c r="D25" s="308">
        <f>-ROUND(SUM('[7]NoteP&amp;L'!$C$82:$C$86)/1000,0)</f>
        <v>2694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f>ROUND('[2]NoteP&amp;L'!$C$77/1000,0)</f>
        <v>0</v>
      </c>
      <c r="H26" s="308"/>
    </row>
    <row r="27" spans="1:8" ht="31.5">
      <c r="A27" s="185" t="s">
        <v>324</v>
      </c>
      <c r="B27" s="228" t="s">
        <v>325</v>
      </c>
      <c r="C27" s="307">
        <f>-ROUND('[6]NoteP&amp;L'!$C$90/1000,0)</f>
        <v>27</v>
      </c>
      <c r="D27" s="308">
        <f>-ROUND('[7]NoteP&amp;L'!$C$90/1000,0)</f>
        <v>9</v>
      </c>
      <c r="E27" s="227" t="s">
        <v>104</v>
      </c>
      <c r="F27" s="229" t="s">
        <v>326</v>
      </c>
      <c r="G27" s="597">
        <f>SUM(G22:G26)</f>
        <v>1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f>-ROUND(('[6]NoteP&amp;L'!$C$87+'[6]NoteP&amp;L'!$C$88+'[6]NoteP&amp;L'!$C$89)/1000,0)-2</f>
        <v>467</v>
      </c>
      <c r="D28" s="308">
        <f>-ROUND(('[7]NoteP&amp;L'!$C$87+'[7]NoteP&amp;L'!$C$88+'[7]NoteP&amp;L'!$C$89)/1000,0)</f>
        <v>644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2757</v>
      </c>
      <c r="D29" s="598">
        <f>SUM(D25:D28)</f>
        <v>3347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69805</v>
      </c>
      <c r="D31" s="604">
        <f>D29+D22</f>
        <v>65806</v>
      </c>
      <c r="E31" s="242" t="s">
        <v>800</v>
      </c>
      <c r="F31" s="257" t="s">
        <v>331</v>
      </c>
      <c r="G31" s="244">
        <f>G16+G18+G27</f>
        <v>86345</v>
      </c>
      <c r="H31" s="245">
        <f>H16+H18+H27</f>
        <v>78307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16540</v>
      </c>
      <c r="D33" s="235">
        <f>IF((H31-D31)&gt;0,H31-D31,0)</f>
        <v>12501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69805</v>
      </c>
      <c r="D36" s="606">
        <f>D31-D34+D35</f>
        <v>65806</v>
      </c>
      <c r="E36" s="253" t="s">
        <v>346</v>
      </c>
      <c r="F36" s="247" t="s">
        <v>347</v>
      </c>
      <c r="G36" s="258">
        <f>G35-G34+G31</f>
        <v>86345</v>
      </c>
      <c r="H36" s="259">
        <f>H35-H34+H31</f>
        <v>78307</v>
      </c>
    </row>
    <row r="37" spans="1:8" ht="15.75">
      <c r="A37" s="252" t="s">
        <v>348</v>
      </c>
      <c r="B37" s="222" t="s">
        <v>349</v>
      </c>
      <c r="C37" s="603">
        <f>IF((G36-C36)&gt;0,G36-C36,0)</f>
        <v>16540</v>
      </c>
      <c r="D37" s="604">
        <f>IF((H36-D36)&gt;0,H36-D36,0)</f>
        <v>12501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1664</v>
      </c>
      <c r="D38" s="598">
        <f>D39+D40+D41</f>
        <v>1276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-'[5]PL'!G$27</f>
        <v>1185</v>
      </c>
      <c r="D39" s="308">
        <f>-'[8]PL'!$G$27</f>
        <v>1440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-'[5]PL'!G$28</f>
        <v>479</v>
      </c>
      <c r="D40" s="308">
        <f>-'[8]PL'!$G$28</f>
        <v>-164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14876</v>
      </c>
      <c r="D42" s="235">
        <f>+IF((H36-D36-D38)&gt;0,H36-D36-D38,0)</f>
        <v>11225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14876</v>
      </c>
      <c r="D44" s="259">
        <f>IF(H42=0,IF(D42-D43&gt;0,D42-D43+H43,0),IF(H42-H43&lt;0,H43-H42+D42,0))</f>
        <v>11225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86345</v>
      </c>
      <c r="D45" s="600">
        <f>D36+D38+D42</f>
        <v>78307</v>
      </c>
      <c r="E45" s="261" t="s">
        <v>373</v>
      </c>
      <c r="F45" s="263" t="s">
        <v>374</v>
      </c>
      <c r="G45" s="599">
        <f>G42+G36</f>
        <v>86345</v>
      </c>
      <c r="H45" s="600">
        <f>H42+H36</f>
        <v>78307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9" t="s">
        <v>951</v>
      </c>
      <c r="B47" s="679"/>
      <c r="C47" s="679"/>
      <c r="D47" s="679"/>
      <c r="E47" s="679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5">
        <f>pdeReportingDate</f>
        <v>42970</v>
      </c>
      <c r="C50" s="675"/>
      <c r="D50" s="675"/>
      <c r="E50" s="675"/>
      <c r="F50" s="675"/>
      <c r="G50" s="675"/>
      <c r="H50" s="675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6" t="str">
        <f>authorName</f>
        <v>Анелия Илиева Илиева</v>
      </c>
      <c r="C52" s="676"/>
      <c r="D52" s="676"/>
      <c r="E52" s="676"/>
      <c r="F52" s="676"/>
      <c r="G52" s="676"/>
      <c r="H52" s="676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7"/>
      <c r="C54" s="677"/>
      <c r="D54" s="677"/>
      <c r="E54" s="677"/>
      <c r="F54" s="677"/>
      <c r="G54" s="677"/>
      <c r="H54" s="677"/>
    </row>
    <row r="55" spans="1:8" ht="15.75" customHeight="1">
      <c r="A55" s="663"/>
      <c r="B55" s="678" t="str">
        <f>'1-Баланс'!B103:E103</f>
        <v>Арно Филип Франсоа Валто де Мулиак </v>
      </c>
      <c r="C55" s="673"/>
      <c r="D55" s="673"/>
      <c r="E55" s="673"/>
      <c r="F55" s="543"/>
      <c r="G55" s="44"/>
      <c r="H55" s="41"/>
    </row>
    <row r="56" spans="1:8" ht="15.75" customHeight="1">
      <c r="A56" s="663"/>
      <c r="B56" s="673" t="s">
        <v>952</v>
      </c>
      <c r="C56" s="673"/>
      <c r="D56" s="673"/>
      <c r="E56" s="673"/>
      <c r="F56" s="543"/>
      <c r="G56" s="44"/>
      <c r="H56" s="41"/>
    </row>
    <row r="57" spans="1:8" ht="15.75" customHeight="1">
      <c r="A57" s="663"/>
      <c r="B57" s="673" t="s">
        <v>952</v>
      </c>
      <c r="C57" s="673"/>
      <c r="D57" s="673"/>
      <c r="E57" s="673"/>
      <c r="F57" s="543"/>
      <c r="G57" s="44"/>
      <c r="H57" s="41"/>
    </row>
    <row r="58" spans="1:8" ht="15.75" customHeight="1">
      <c r="A58" s="663"/>
      <c r="B58" s="673" t="s">
        <v>952</v>
      </c>
      <c r="C58" s="673"/>
      <c r="D58" s="673"/>
      <c r="E58" s="673"/>
      <c r="F58" s="543"/>
      <c r="G58" s="44"/>
      <c r="H58" s="41"/>
    </row>
    <row r="59" spans="1:8" ht="15.75">
      <c r="A59" s="663"/>
      <c r="B59" s="673"/>
      <c r="C59" s="673"/>
      <c r="D59" s="673"/>
      <c r="E59" s="673"/>
      <c r="F59" s="543"/>
      <c r="G59" s="44"/>
      <c r="H59" s="41"/>
    </row>
    <row r="60" spans="1:8" ht="15.75">
      <c r="A60" s="663"/>
      <c r="B60" s="673"/>
      <c r="C60" s="673"/>
      <c r="D60" s="673"/>
      <c r="E60" s="673"/>
      <c r="F60" s="543"/>
      <c r="G60" s="44"/>
      <c r="H60" s="41"/>
    </row>
    <row r="61" spans="1:8" ht="15.75">
      <c r="A61" s="663"/>
      <c r="B61" s="673"/>
      <c r="C61" s="673"/>
      <c r="D61" s="673"/>
      <c r="E61" s="673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21" sqref="D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ROUND('[9]CF_Conso_2017'!$O$12,0)</f>
        <v>78166</v>
      </c>
      <c r="D11" s="187">
        <f>ROUND('[9]CF_Conso_2017'!Q$12,0)</f>
        <v>73094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/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ROUND('[9]CF_Conso_2017'!$O$14,0)</f>
        <v>-14455</v>
      </c>
      <c r="D14" s="187">
        <f>ROUND('[9]CF_Conso_2017'!$Q$14,0)</f>
        <v>-13498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ROUND('[9]CF_Conso_2017'!$O$37+'[9]CF_Conso_2017'!$O$38,0)</f>
        <v>-6835</v>
      </c>
      <c r="D15" s="187">
        <f>'[9]CF_Conso_2017'!$Q$37+'[9]CF_Conso_2017'!$Q$38</f>
        <v>-6227.35424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ROUND('[9]CF_Conso_2017'!$O$36,0)</f>
        <v>-1926</v>
      </c>
      <c r="D16" s="187">
        <f>'[9]CF_Conso_2017'!$Q$36</f>
        <v>-2288.83841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ROUND(SUM('[9]CF_Conso_2017'!$O$15:$O$22)+'[9]CF_Conso_2017'!$O$30,0)-1</f>
        <v>-28540</v>
      </c>
      <c r="D20" s="187">
        <f>SUM('[9]CF_Conso_2017'!$Q$15:$Q$22)+'[9]CF_Conso_2017'!$Q$30+1</f>
        <v>-27143.68416400001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26410</v>
      </c>
      <c r="D21" s="628">
        <f>SUM(D11:D20)</f>
        <v>23936.123185999993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ROUND('[9]CF_Conso_2017'!$O$34,0)</f>
        <v>-10362</v>
      </c>
      <c r="D23" s="187">
        <f>'[9]CF_Conso_2017'!$Q$34</f>
        <v>-12388.439183999999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-10362</v>
      </c>
      <c r="D33" s="628">
        <f>SUM(D23:D32)</f>
        <v>-12388.439183999999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f>ROUND('[9]CF_Conso_2017'!$O$47,0)</f>
        <v>-4532</v>
      </c>
      <c r="D38" s="187">
        <f>'[9]CF_Conso_2017'!$Q$47</f>
        <v>-4531.658109999999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ROUND('[9]CF_Conso_2017'!$O$44,0)</f>
        <v>-1339</v>
      </c>
      <c r="D39" s="187">
        <f>'[9]CF_Conso_2017'!$Q$44</f>
        <v>-772.59937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ROUND('[9]CF_Conso_2017'!$O$41+'[9]CF_Conso_2017'!$O$42,0)</f>
        <v>-1969</v>
      </c>
      <c r="D40" s="187">
        <f>'[9]CF_Conso_2017'!$Q$41+'[9]CF_Conso_2017'!$Q$42</f>
        <v>-2427.234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ROUND('[9]CF_Conso_2017'!$O$43,0)</f>
        <v>35</v>
      </c>
      <c r="D42" s="187">
        <f>'[9]CF_Conso_2017'!$Q$43</f>
        <v>71.57596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-7805</v>
      </c>
      <c r="D43" s="630">
        <f>SUM(D35:D42)</f>
        <v>-7659.915519999999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8243</v>
      </c>
      <c r="D44" s="298">
        <f>D43+D33+D21</f>
        <v>3887.768481999996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'[3]CF_Conso_2017'!$O$51</f>
        <v>17495.926587999995</v>
      </c>
      <c r="D45" s="300">
        <f>'[3]CF_Conso_2017'!$Q$51</f>
        <v>17002.55536058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25738.926587999995</v>
      </c>
      <c r="D46" s="302">
        <f>D45+D44</f>
        <v>20890.323842579997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25738.926587999995</v>
      </c>
      <c r="D47" s="289">
        <f>D46</f>
        <v>20890.323842579997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475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80" t="s">
        <v>947</v>
      </c>
      <c r="B51" s="680"/>
      <c r="C51" s="680"/>
      <c r="D51" s="680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5">
        <f>pdeReportingDate</f>
        <v>42970</v>
      </c>
      <c r="C54" s="675"/>
      <c r="D54" s="675"/>
      <c r="E54" s="675"/>
      <c r="F54" s="664"/>
      <c r="G54" s="664"/>
      <c r="H54" s="664"/>
      <c r="M54" s="92"/>
    </row>
    <row r="55" spans="1:13" s="41" customFormat="1" ht="15.75">
      <c r="A55" s="661"/>
      <c r="B55" s="675"/>
      <c r="C55" s="675"/>
      <c r="D55" s="675"/>
      <c r="E55" s="675"/>
      <c r="F55" s="51"/>
      <c r="G55" s="51"/>
      <c r="H55" s="51"/>
      <c r="M55" s="92"/>
    </row>
    <row r="56" spans="1:8" s="41" customFormat="1" ht="15.75">
      <c r="A56" s="662" t="s">
        <v>8</v>
      </c>
      <c r="B56" s="676" t="str">
        <f>authorName</f>
        <v>Анелия Илиева Илиева</v>
      </c>
      <c r="C56" s="676"/>
      <c r="D56" s="676"/>
      <c r="E56" s="676"/>
      <c r="F56" s="75"/>
      <c r="G56" s="75"/>
      <c r="H56" s="75"/>
    </row>
    <row r="57" spans="1:8" s="41" customFormat="1" ht="15.75">
      <c r="A57" s="662"/>
      <c r="B57" s="676"/>
      <c r="C57" s="676"/>
      <c r="D57" s="676"/>
      <c r="E57" s="676"/>
      <c r="F57" s="75"/>
      <c r="G57" s="75"/>
      <c r="H57" s="75"/>
    </row>
    <row r="58" spans="1:8" s="41" customFormat="1" ht="15.75">
      <c r="A58" s="662" t="s">
        <v>894</v>
      </c>
      <c r="B58" s="676"/>
      <c r="C58" s="676"/>
      <c r="D58" s="676"/>
      <c r="E58" s="676"/>
      <c r="F58" s="75"/>
      <c r="G58" s="75"/>
      <c r="H58" s="75"/>
    </row>
    <row r="59" spans="1:8" s="182" customFormat="1" ht="15.75">
      <c r="A59" s="663"/>
      <c r="B59" s="678" t="str">
        <f>'2-Отчет за доходите'!B55:E55</f>
        <v>Арно Филип Франсоа Валто де Мулиак </v>
      </c>
      <c r="C59" s="673"/>
      <c r="D59" s="673"/>
      <c r="E59" s="673"/>
      <c r="F59" s="543"/>
      <c r="G59" s="44"/>
      <c r="H59" s="41"/>
    </row>
    <row r="60" spans="1:8" ht="15.75">
      <c r="A60" s="663"/>
      <c r="B60" s="673" t="s">
        <v>952</v>
      </c>
      <c r="C60" s="673"/>
      <c r="D60" s="673"/>
      <c r="E60" s="673"/>
      <c r="F60" s="543"/>
      <c r="G60" s="44"/>
      <c r="H60" s="41"/>
    </row>
    <row r="61" spans="1:8" ht="15.75">
      <c r="A61" s="663"/>
      <c r="B61" s="673" t="s">
        <v>952</v>
      </c>
      <c r="C61" s="673"/>
      <c r="D61" s="673"/>
      <c r="E61" s="673"/>
      <c r="F61" s="543"/>
      <c r="G61" s="44"/>
      <c r="H61" s="41"/>
    </row>
    <row r="62" spans="1:8" ht="15.75">
      <c r="A62" s="663"/>
      <c r="B62" s="673" t="s">
        <v>952</v>
      </c>
      <c r="C62" s="673"/>
      <c r="D62" s="673"/>
      <c r="E62" s="673"/>
      <c r="F62" s="543"/>
      <c r="G62" s="44"/>
      <c r="H62" s="41"/>
    </row>
    <row r="63" spans="1:8" ht="15.75">
      <c r="A63" s="663"/>
      <c r="B63" s="673"/>
      <c r="C63" s="673"/>
      <c r="D63" s="673"/>
      <c r="E63" s="673"/>
      <c r="F63" s="543"/>
      <c r="G63" s="44"/>
      <c r="H63" s="41"/>
    </row>
    <row r="64" spans="1:8" ht="15.75">
      <c r="A64" s="663"/>
      <c r="B64" s="673"/>
      <c r="C64" s="673"/>
      <c r="D64" s="673"/>
      <c r="E64" s="673"/>
      <c r="F64" s="543"/>
      <c r="G64" s="44"/>
      <c r="H64" s="41"/>
    </row>
    <row r="65" spans="1:8" ht="15.75">
      <c r="A65" s="663"/>
      <c r="B65" s="673"/>
      <c r="C65" s="673"/>
      <c r="D65" s="673"/>
      <c r="E65" s="673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8" sqref="E27:E2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5" t="s">
        <v>453</v>
      </c>
      <c r="B8" s="68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1.5">
      <c r="A9" s="686"/>
      <c r="B9" s="689"/>
      <c r="C9" s="682"/>
      <c r="D9" s="684" t="s">
        <v>802</v>
      </c>
      <c r="E9" s="684" t="s">
        <v>456</v>
      </c>
      <c r="F9" s="504" t="s">
        <v>457</v>
      </c>
      <c r="G9" s="504"/>
      <c r="H9" s="504"/>
      <c r="I9" s="691" t="s">
        <v>458</v>
      </c>
      <c r="J9" s="691" t="s">
        <v>459</v>
      </c>
      <c r="K9" s="682"/>
      <c r="L9" s="682"/>
      <c r="M9" s="505" t="s">
        <v>801</v>
      </c>
      <c r="N9" s="501"/>
    </row>
    <row r="10" spans="1:14" s="502" customFormat="1" ht="31.5">
      <c r="A10" s="687"/>
      <c r="B10" s="690"/>
      <c r="C10" s="683"/>
      <c r="D10" s="684"/>
      <c r="E10" s="684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-313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186129</v>
      </c>
      <c r="J13" s="553">
        <f>'1-Баланс'!H30+'1-Баланс'!H33</f>
        <v>0</v>
      </c>
      <c r="K13" s="554"/>
      <c r="L13" s="553">
        <f>SUM(C13:K13)</f>
        <v>205474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-313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186129</v>
      </c>
      <c r="J17" s="622">
        <f t="shared" si="2"/>
        <v>0</v>
      </c>
      <c r="K17" s="622">
        <f t="shared" si="2"/>
        <v>0</v>
      </c>
      <c r="L17" s="553">
        <f t="shared" si="1"/>
        <v>205474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14876</v>
      </c>
      <c r="J18" s="553">
        <f>+'1-Баланс'!G33</f>
        <v>0</v>
      </c>
      <c r="K18" s="554"/>
      <c r="L18" s="553">
        <f t="shared" si="1"/>
        <v>14876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4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4</v>
      </c>
      <c r="F27" s="307"/>
      <c r="G27" s="307"/>
      <c r="H27" s="307"/>
      <c r="I27" s="307"/>
      <c r="J27" s="307"/>
      <c r="K27" s="307"/>
      <c r="L27" s="553">
        <f t="shared" si="1"/>
        <v>4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-309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201005</v>
      </c>
      <c r="J31" s="622">
        <f t="shared" si="6"/>
        <v>0</v>
      </c>
      <c r="K31" s="622">
        <f t="shared" si="6"/>
        <v>0</v>
      </c>
      <c r="L31" s="553">
        <f t="shared" si="1"/>
        <v>220354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-309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201005</v>
      </c>
      <c r="J34" s="556">
        <f t="shared" si="7"/>
        <v>0</v>
      </c>
      <c r="K34" s="556">
        <f t="shared" si="7"/>
        <v>0</v>
      </c>
      <c r="L34" s="620">
        <f t="shared" si="1"/>
        <v>220354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5">
        <f>pdeReportingDate</f>
        <v>42970</v>
      </c>
      <c r="C38" s="675"/>
      <c r="D38" s="675"/>
      <c r="E38" s="675"/>
      <c r="F38" s="675"/>
      <c r="G38" s="675"/>
      <c r="H38" s="675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6" t="str">
        <f>authorName</f>
        <v>Анелия Илиева Илиева</v>
      </c>
      <c r="C40" s="676"/>
      <c r="D40" s="676"/>
      <c r="E40" s="676"/>
      <c r="F40" s="676"/>
      <c r="G40" s="676"/>
      <c r="H40" s="676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7"/>
      <c r="C42" s="677"/>
      <c r="D42" s="677"/>
      <c r="E42" s="677"/>
      <c r="F42" s="677"/>
      <c r="G42" s="677"/>
      <c r="H42" s="677"/>
      <c r="M42" s="160"/>
    </row>
    <row r="43" spans="1:13" ht="15.75">
      <c r="A43" s="663"/>
      <c r="B43" s="678" t="str">
        <f>'3-Отчет за паричния поток'!B59:E59</f>
        <v>Арно Филип Франсоа Валто де Мулиак </v>
      </c>
      <c r="C43" s="673"/>
      <c r="D43" s="673"/>
      <c r="E43" s="673"/>
      <c r="F43" s="543"/>
      <c r="G43" s="44"/>
      <c r="H43" s="41"/>
      <c r="M43" s="160"/>
    </row>
    <row r="44" spans="1:13" ht="15.75">
      <c r="A44" s="663"/>
      <c r="B44" s="673" t="s">
        <v>952</v>
      </c>
      <c r="C44" s="673"/>
      <c r="D44" s="673"/>
      <c r="E44" s="673"/>
      <c r="F44" s="543"/>
      <c r="G44" s="44"/>
      <c r="H44" s="41"/>
      <c r="M44" s="160"/>
    </row>
    <row r="45" spans="1:13" ht="15.75">
      <c r="A45" s="663"/>
      <c r="B45" s="673" t="s">
        <v>952</v>
      </c>
      <c r="C45" s="673"/>
      <c r="D45" s="673"/>
      <c r="E45" s="673"/>
      <c r="F45" s="543"/>
      <c r="G45" s="44"/>
      <c r="H45" s="41"/>
      <c r="M45" s="160"/>
    </row>
    <row r="46" spans="1:13" ht="15.75">
      <c r="A46" s="663"/>
      <c r="B46" s="673" t="s">
        <v>952</v>
      </c>
      <c r="C46" s="673"/>
      <c r="D46" s="673"/>
      <c r="E46" s="673"/>
      <c r="F46" s="543"/>
      <c r="G46" s="44"/>
      <c r="H46" s="41"/>
      <c r="M46" s="160"/>
    </row>
    <row r="47" spans="1:13" ht="15.75">
      <c r="A47" s="663"/>
      <c r="B47" s="673"/>
      <c r="C47" s="673"/>
      <c r="D47" s="673"/>
      <c r="E47" s="673"/>
      <c r="F47" s="543"/>
      <c r="G47" s="44"/>
      <c r="H47" s="41"/>
      <c r="M47" s="160"/>
    </row>
    <row r="48" spans="1:13" ht="15.75">
      <c r="A48" s="663"/>
      <c r="B48" s="673"/>
      <c r="C48" s="673"/>
      <c r="D48" s="673"/>
      <c r="E48" s="673"/>
      <c r="F48" s="543"/>
      <c r="G48" s="44"/>
      <c r="H48" s="41"/>
      <c r="M48" s="160"/>
    </row>
    <row r="49" spans="1:13" ht="15.75">
      <c r="A49" s="663"/>
      <c r="B49" s="673"/>
      <c r="C49" s="673"/>
      <c r="D49" s="673"/>
      <c r="E49" s="673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6" t="s">
        <v>453</v>
      </c>
      <c r="B7" s="697"/>
      <c r="C7" s="70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9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92" t="s">
        <v>513</v>
      </c>
      <c r="R7" s="694" t="s">
        <v>514</v>
      </c>
    </row>
    <row r="8" spans="1:18" s="119" customFormat="1" ht="66.75" customHeight="1">
      <c r="A8" s="698"/>
      <c r="B8" s="699"/>
      <c r="C8" s="70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3"/>
      <c r="R8" s="695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f>'[1]Справка 6'!$J11</f>
        <v>185</v>
      </c>
      <c r="E11" s="670">
        <v>0</v>
      </c>
      <c r="F11" s="670">
        <v>0</v>
      </c>
      <c r="G11" s="672">
        <f>D11+E11-F11</f>
        <v>185</v>
      </c>
      <c r="H11" s="319"/>
      <c r="I11" s="319"/>
      <c r="J11" s="320">
        <f>G11+H11-I11</f>
        <v>185</v>
      </c>
      <c r="K11" s="319">
        <f>'[1]Справка 6'!$N11</f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f>'[1]Справка 6'!$J12</f>
        <v>525</v>
      </c>
      <c r="E12" s="670">
        <v>0</v>
      </c>
      <c r="F12" s="670">
        <v>0</v>
      </c>
      <c r="G12" s="672">
        <f aca="true" t="shared" si="2" ref="G12:G41">D12+E12-F12</f>
        <v>525</v>
      </c>
      <c r="H12" s="319"/>
      <c r="I12" s="319"/>
      <c r="J12" s="320">
        <f aca="true" t="shared" si="3" ref="J12:J41">G12+H12-I12</f>
        <v>525</v>
      </c>
      <c r="K12" s="319">
        <f>'[1]Справка 6'!$N12</f>
        <v>195</v>
      </c>
      <c r="L12" s="319">
        <v>10</v>
      </c>
      <c r="M12" s="319">
        <v>0</v>
      </c>
      <c r="N12" s="320">
        <f aca="true" t="shared" si="4" ref="N12:N41">K12+L12-M12</f>
        <v>205</v>
      </c>
      <c r="O12" s="319"/>
      <c r="P12" s="319"/>
      <c r="Q12" s="320">
        <f t="shared" si="0"/>
        <v>205</v>
      </c>
      <c r="R12" s="331">
        <f t="shared" si="1"/>
        <v>320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f>'[1]Справка 6'!$J13</f>
        <v>29690</v>
      </c>
      <c r="E13" s="670">
        <v>636</v>
      </c>
      <c r="F13" s="670">
        <v>33</v>
      </c>
      <c r="G13" s="672">
        <f t="shared" si="2"/>
        <v>30293</v>
      </c>
      <c r="H13" s="319"/>
      <c r="I13" s="319"/>
      <c r="J13" s="320">
        <f t="shared" si="3"/>
        <v>30293</v>
      </c>
      <c r="K13" s="319">
        <f>'[1]Справка 6'!$N13</f>
        <v>19275</v>
      </c>
      <c r="L13" s="319">
        <v>1210</v>
      </c>
      <c r="M13" s="319">
        <v>24</v>
      </c>
      <c r="N13" s="320">
        <f t="shared" si="4"/>
        <v>20461</v>
      </c>
      <c r="O13" s="319"/>
      <c r="P13" s="319"/>
      <c r="Q13" s="320">
        <f t="shared" si="0"/>
        <v>20461</v>
      </c>
      <c r="R13" s="331">
        <f t="shared" si="1"/>
        <v>9832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f>'[1]Справка 6'!$J14</f>
        <v>0</v>
      </c>
      <c r="E14" s="670"/>
      <c r="F14" s="670"/>
      <c r="G14" s="672">
        <f t="shared" si="2"/>
        <v>0</v>
      </c>
      <c r="H14" s="319"/>
      <c r="I14" s="319"/>
      <c r="J14" s="320">
        <f t="shared" si="3"/>
        <v>0</v>
      </c>
      <c r="K14" s="319">
        <f>'[1]Справка 6'!$N14</f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f>'[1]Справка 6'!$J15</f>
        <v>14956</v>
      </c>
      <c r="E15" s="670">
        <v>196</v>
      </c>
      <c r="F15" s="670">
        <v>524</v>
      </c>
      <c r="G15" s="672">
        <f t="shared" si="2"/>
        <v>14628</v>
      </c>
      <c r="H15" s="319"/>
      <c r="I15" s="319"/>
      <c r="J15" s="320">
        <f t="shared" si="3"/>
        <v>14628</v>
      </c>
      <c r="K15" s="319">
        <f>'[1]Справка 6'!$N15</f>
        <v>8943</v>
      </c>
      <c r="L15" s="319">
        <v>677</v>
      </c>
      <c r="M15" s="319">
        <v>523</v>
      </c>
      <c r="N15" s="320">
        <f t="shared" si="4"/>
        <v>9097</v>
      </c>
      <c r="O15" s="319"/>
      <c r="P15" s="319"/>
      <c r="Q15" s="320">
        <f t="shared" si="0"/>
        <v>9097</v>
      </c>
      <c r="R15" s="331">
        <f t="shared" si="1"/>
        <v>5531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f>'[1]Справка 6'!$J16</f>
        <v>0</v>
      </c>
      <c r="E16" s="670"/>
      <c r="F16" s="670"/>
      <c r="G16" s="672">
        <f t="shared" si="2"/>
        <v>0</v>
      </c>
      <c r="H16" s="319"/>
      <c r="I16" s="319"/>
      <c r="J16" s="320">
        <f t="shared" si="3"/>
        <v>0</v>
      </c>
      <c r="K16" s="319">
        <f>'[1]Справка 6'!$N16</f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f>'[1]Справка 6'!$J17</f>
        <v>0</v>
      </c>
      <c r="E17" s="670">
        <v>1018</v>
      </c>
      <c r="F17" s="670">
        <v>865</v>
      </c>
      <c r="G17" s="672">
        <f t="shared" si="2"/>
        <v>153</v>
      </c>
      <c r="H17" s="319"/>
      <c r="I17" s="319"/>
      <c r="J17" s="320">
        <f t="shared" si="3"/>
        <v>153</v>
      </c>
      <c r="K17" s="319">
        <f>'[1]Справка 6'!$N17</f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153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'[1]Справка 6'!$J18</f>
        <v>1186</v>
      </c>
      <c r="E18" s="670">
        <v>33</v>
      </c>
      <c r="F18" s="670">
        <v>0</v>
      </c>
      <c r="G18" s="672">
        <f t="shared" si="2"/>
        <v>1219</v>
      </c>
      <c r="H18" s="319"/>
      <c r="I18" s="319"/>
      <c r="J18" s="320">
        <f t="shared" si="3"/>
        <v>1219</v>
      </c>
      <c r="K18" s="319">
        <f>'[1]Справка 6'!$N18</f>
        <v>1063</v>
      </c>
      <c r="L18" s="319">
        <v>15</v>
      </c>
      <c r="M18" s="319">
        <v>0</v>
      </c>
      <c r="N18" s="320">
        <f t="shared" si="4"/>
        <v>1078</v>
      </c>
      <c r="O18" s="319"/>
      <c r="P18" s="319"/>
      <c r="Q18" s="320">
        <f t="shared" si="0"/>
        <v>1078</v>
      </c>
      <c r="R18" s="331">
        <f t="shared" si="1"/>
        <v>141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46542</v>
      </c>
      <c r="E19" s="671">
        <f>SUM(E11:E18)</f>
        <v>1883</v>
      </c>
      <c r="F19" s="671">
        <f>SUM(F11:F18)</f>
        <v>1422</v>
      </c>
      <c r="G19" s="672">
        <f t="shared" si="2"/>
        <v>47003</v>
      </c>
      <c r="H19" s="321">
        <f>SUM(H11:H18)</f>
        <v>0</v>
      </c>
      <c r="I19" s="321">
        <f>SUM(I11:I18)</f>
        <v>0</v>
      </c>
      <c r="J19" s="320">
        <f t="shared" si="3"/>
        <v>47003</v>
      </c>
      <c r="K19" s="321">
        <f>SUM(K11:K18)</f>
        <v>29476</v>
      </c>
      <c r="L19" s="321">
        <f>SUM(L11:L18)</f>
        <v>1912</v>
      </c>
      <c r="M19" s="321">
        <f>SUM(M11:M18)</f>
        <v>547</v>
      </c>
      <c r="N19" s="320">
        <f t="shared" si="4"/>
        <v>30841</v>
      </c>
      <c r="O19" s="321">
        <f>SUM(O11:O18)</f>
        <v>0</v>
      </c>
      <c r="P19" s="321">
        <f>SUM(P11:P18)</f>
        <v>0</v>
      </c>
      <c r="Q19" s="320">
        <f t="shared" si="0"/>
        <v>30841</v>
      </c>
      <c r="R19" s="331">
        <f t="shared" si="1"/>
        <v>16162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f>'[1]Справка 6'!$G23</f>
        <v>0</v>
      </c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>
        <f>'[1]Справка 6'!$N23</f>
        <v>0</v>
      </c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f>'[1]Справка 6'!$G24</f>
        <v>20085</v>
      </c>
      <c r="E24" s="319">
        <v>30</v>
      </c>
      <c r="F24" s="319"/>
      <c r="G24" s="320">
        <f t="shared" si="2"/>
        <v>20115</v>
      </c>
      <c r="H24" s="319"/>
      <c r="I24" s="319"/>
      <c r="J24" s="320">
        <f t="shared" si="3"/>
        <v>20115</v>
      </c>
      <c r="K24" s="319">
        <f>'[1]Справка 6'!$N24</f>
        <v>15304</v>
      </c>
      <c r="L24" s="319">
        <v>332</v>
      </c>
      <c r="M24" s="319"/>
      <c r="N24" s="320">
        <f t="shared" si="4"/>
        <v>15636</v>
      </c>
      <c r="O24" s="319"/>
      <c r="P24" s="319"/>
      <c r="Q24" s="320">
        <f t="shared" si="0"/>
        <v>15636</v>
      </c>
      <c r="R24" s="331">
        <f t="shared" si="1"/>
        <v>4479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f>'[1]Справка 6'!$G25</f>
        <v>21041</v>
      </c>
      <c r="E25" s="319"/>
      <c r="F25" s="319"/>
      <c r="G25" s="320">
        <f t="shared" si="2"/>
        <v>21041</v>
      </c>
      <c r="H25" s="319"/>
      <c r="I25" s="319"/>
      <c r="J25" s="320">
        <f t="shared" si="3"/>
        <v>21041</v>
      </c>
      <c r="K25" s="319">
        <f>'[1]Справка 6'!$N25</f>
        <v>21037</v>
      </c>
      <c r="L25" s="319">
        <v>0</v>
      </c>
      <c r="M25" s="319"/>
      <c r="N25" s="320">
        <f t="shared" si="4"/>
        <v>21037</v>
      </c>
      <c r="O25" s="319"/>
      <c r="P25" s="319"/>
      <c r="Q25" s="320">
        <f t="shared" si="0"/>
        <v>21037</v>
      </c>
      <c r="R25" s="331">
        <f t="shared" si="1"/>
        <v>4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'[1]Справка 6'!$G26</f>
        <v>462869</v>
      </c>
      <c r="E26" s="319">
        <v>25973</v>
      </c>
      <c r="F26" s="319">
        <v>12889</v>
      </c>
      <c r="G26" s="320">
        <f t="shared" si="2"/>
        <v>475953</v>
      </c>
      <c r="H26" s="319"/>
      <c r="I26" s="319"/>
      <c r="J26" s="320">
        <f t="shared" si="3"/>
        <v>475953</v>
      </c>
      <c r="K26" s="319">
        <f>'[1]Справка 6'!$N26</f>
        <v>178977</v>
      </c>
      <c r="L26" s="319">
        <v>15706</v>
      </c>
      <c r="M26" s="319"/>
      <c r="N26" s="320">
        <f t="shared" si="4"/>
        <v>194683</v>
      </c>
      <c r="O26" s="319"/>
      <c r="P26" s="319"/>
      <c r="Q26" s="320">
        <f t="shared" si="0"/>
        <v>194683</v>
      </c>
      <c r="R26" s="331">
        <f t="shared" si="1"/>
        <v>281270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503995</v>
      </c>
      <c r="E27" s="323">
        <f aca="true" t="shared" si="5" ref="E27:P27">SUM(E23:E26)</f>
        <v>26003</v>
      </c>
      <c r="F27" s="323">
        <f t="shared" si="5"/>
        <v>12889</v>
      </c>
      <c r="G27" s="324">
        <f t="shared" si="2"/>
        <v>517109</v>
      </c>
      <c r="H27" s="323">
        <f t="shared" si="5"/>
        <v>0</v>
      </c>
      <c r="I27" s="323">
        <f t="shared" si="5"/>
        <v>0</v>
      </c>
      <c r="J27" s="324">
        <f t="shared" si="3"/>
        <v>517109</v>
      </c>
      <c r="K27" s="323">
        <f t="shared" si="5"/>
        <v>215318</v>
      </c>
      <c r="L27" s="323">
        <f t="shared" si="5"/>
        <v>16038</v>
      </c>
      <c r="M27" s="323">
        <f t="shared" si="5"/>
        <v>0</v>
      </c>
      <c r="N27" s="324">
        <f t="shared" si="4"/>
        <v>231356</v>
      </c>
      <c r="O27" s="323">
        <f t="shared" si="5"/>
        <v>0</v>
      </c>
      <c r="P27" s="323">
        <f t="shared" si="5"/>
        <v>0</v>
      </c>
      <c r="Q27" s="324">
        <f t="shared" si="0"/>
        <v>231356</v>
      </c>
      <c r="R27" s="334">
        <f t="shared" si="1"/>
        <v>285753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557930</v>
      </c>
      <c r="E42" s="340">
        <f>E19+E20+E21+E27+E40+E41</f>
        <v>27886</v>
      </c>
      <c r="F42" s="340">
        <f aca="true" t="shared" si="11" ref="F42:R42">F19+F20+F21+F27+F40+F41</f>
        <v>14311</v>
      </c>
      <c r="G42" s="340">
        <f t="shared" si="11"/>
        <v>571505</v>
      </c>
      <c r="H42" s="340">
        <f t="shared" si="11"/>
        <v>0</v>
      </c>
      <c r="I42" s="340">
        <f t="shared" si="11"/>
        <v>0</v>
      </c>
      <c r="J42" s="340">
        <f t="shared" si="11"/>
        <v>571505</v>
      </c>
      <c r="K42" s="340">
        <f t="shared" si="11"/>
        <v>252187</v>
      </c>
      <c r="L42" s="340">
        <f t="shared" si="11"/>
        <v>17950</v>
      </c>
      <c r="M42" s="340">
        <f t="shared" si="11"/>
        <v>547</v>
      </c>
      <c r="N42" s="340">
        <f t="shared" si="11"/>
        <v>269590</v>
      </c>
      <c r="O42" s="340">
        <f t="shared" si="11"/>
        <v>0</v>
      </c>
      <c r="P42" s="340">
        <f t="shared" si="11"/>
        <v>0</v>
      </c>
      <c r="Q42" s="340">
        <f t="shared" si="11"/>
        <v>269590</v>
      </c>
      <c r="R42" s="341">
        <f t="shared" si="11"/>
        <v>301915</v>
      </c>
    </row>
    <row r="43" spans="1:18" ht="15.75">
      <c r="A43" s="491"/>
      <c r="B43" s="491"/>
      <c r="C43" s="491"/>
      <c r="D43" s="492">
        <f>D42-'[1]Справка 6'!$J$42</f>
        <v>0</v>
      </c>
      <c r="E43" s="492"/>
      <c r="F43" s="492"/>
      <c r="G43" s="493"/>
      <c r="H43" s="493"/>
      <c r="I43" s="493"/>
      <c r="J43" s="493"/>
      <c r="K43" s="493">
        <f>K42-'[1]Справка 6'!$N$42</f>
        <v>0</v>
      </c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5">
        <f>pdeReportingDate</f>
        <v>42970</v>
      </c>
      <c r="D45" s="675"/>
      <c r="E45" s="675"/>
      <c r="F45" s="675"/>
      <c r="G45" s="675"/>
      <c r="H45" s="675"/>
      <c r="I45" s="67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6" t="str">
        <f>authorName</f>
        <v>Анелия Илиева Илиева</v>
      </c>
      <c r="D47" s="676"/>
      <c r="E47" s="676"/>
      <c r="F47" s="676"/>
      <c r="G47" s="676"/>
      <c r="H47" s="676"/>
      <c r="I47" s="676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7"/>
      <c r="D49" s="677"/>
      <c r="E49" s="677"/>
      <c r="F49" s="677"/>
      <c r="G49" s="677"/>
      <c r="H49" s="677"/>
      <c r="I49" s="677"/>
    </row>
    <row r="50" spans="2:9" ht="15.75">
      <c r="B50" s="663"/>
      <c r="C50" s="678" t="s">
        <v>965</v>
      </c>
      <c r="D50" s="673"/>
      <c r="E50" s="673"/>
      <c r="F50" s="673"/>
      <c r="G50" s="543"/>
      <c r="H50" s="44"/>
      <c r="I50" s="41"/>
    </row>
    <row r="51" spans="2:9" ht="15.75">
      <c r="B51" s="663"/>
      <c r="C51" s="673" t="s">
        <v>952</v>
      </c>
      <c r="D51" s="673"/>
      <c r="E51" s="673"/>
      <c r="F51" s="673"/>
      <c r="G51" s="543"/>
      <c r="H51" s="44"/>
      <c r="I51" s="41"/>
    </row>
    <row r="52" spans="2:9" ht="15.75">
      <c r="B52" s="663"/>
      <c r="C52" s="673" t="s">
        <v>952</v>
      </c>
      <c r="D52" s="673"/>
      <c r="E52" s="673"/>
      <c r="F52" s="673"/>
      <c r="G52" s="543"/>
      <c r="H52" s="44"/>
      <c r="I52" s="41"/>
    </row>
    <row r="53" spans="2:9" ht="15.75">
      <c r="B53" s="663"/>
      <c r="C53" s="673" t="s">
        <v>952</v>
      </c>
      <c r="D53" s="673"/>
      <c r="E53" s="673"/>
      <c r="F53" s="673"/>
      <c r="G53" s="543"/>
      <c r="H53" s="44"/>
      <c r="I53" s="41"/>
    </row>
    <row r="54" spans="2:9" ht="15.75">
      <c r="B54" s="663"/>
      <c r="C54" s="673"/>
      <c r="D54" s="673"/>
      <c r="E54" s="673"/>
      <c r="F54" s="673"/>
      <c r="G54" s="543"/>
      <c r="H54" s="44"/>
      <c r="I54" s="41"/>
    </row>
    <row r="55" spans="2:9" ht="15.75">
      <c r="B55" s="663"/>
      <c r="C55" s="673"/>
      <c r="D55" s="673"/>
      <c r="E55" s="673"/>
      <c r="F55" s="673"/>
      <c r="G55" s="543"/>
      <c r="H55" s="44"/>
      <c r="I55" s="41"/>
    </row>
    <row r="56" spans="2:9" ht="15.75">
      <c r="B56" s="663"/>
      <c r="C56" s="673"/>
      <c r="D56" s="673"/>
      <c r="E56" s="673"/>
      <c r="F56" s="673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B119" sqref="B118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6" t="s">
        <v>453</v>
      </c>
      <c r="B8" s="708" t="s">
        <v>11</v>
      </c>
      <c r="C8" s="704" t="s">
        <v>587</v>
      </c>
      <c r="D8" s="356" t="s">
        <v>588</v>
      </c>
      <c r="E8" s="357"/>
      <c r="F8" s="118"/>
    </row>
    <row r="9" spans="1:6" s="119" customFormat="1" ht="15.75">
      <c r="A9" s="707"/>
      <c r="B9" s="709"/>
      <c r="C9" s="70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220</v>
      </c>
      <c r="D18" s="353">
        <f>+D19+D20</f>
        <v>0</v>
      </c>
      <c r="E18" s="360">
        <f t="shared" si="0"/>
        <v>220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220</v>
      </c>
      <c r="D20" s="359"/>
      <c r="E20" s="360">
        <f t="shared" si="0"/>
        <v>220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220</v>
      </c>
      <c r="D21" s="431">
        <f>D13+D17+D18</f>
        <v>0</v>
      </c>
      <c r="E21" s="432">
        <f>E13+E17+E18</f>
        <v>220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6158</v>
      </c>
      <c r="D23" s="434"/>
      <c r="E23" s="433">
        <f t="shared" si="0"/>
        <v>6158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</v>
      </c>
      <c r="D26" s="353">
        <f>SUM(D27:D29)</f>
        <v>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2</v>
      </c>
      <c r="D29" s="359">
        <f>C29</f>
        <v>2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40495</v>
      </c>
      <c r="D30" s="359">
        <f>C30</f>
        <v>40495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310</v>
      </c>
      <c r="D35" s="353">
        <f>SUM(D36:D39)</f>
        <v>310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f>ROUND('[6]Sheet1'!$G$134/1000,0)+ROUND('[10]ajur'!$L$50/1000,0)</f>
        <v>305</v>
      </c>
      <c r="D36" s="359">
        <f>C36</f>
        <v>305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ROUND('[10]ajur'!$L$54/1000,0)</f>
        <v>5</v>
      </c>
      <c r="D37" s="359">
        <f>C37</f>
        <v>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40807</v>
      </c>
      <c r="D45" s="429">
        <f>D26+D30+D31+D33+D32+D34+D35+D40</f>
        <v>40807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47185</v>
      </c>
      <c r="D46" s="435">
        <f>D45+D23+D21+D11</f>
        <v>40807</v>
      </c>
      <c r="E46" s="436">
        <f>E45+E23+E21+E11</f>
        <v>6378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6" t="s">
        <v>453</v>
      </c>
      <c r="B50" s="708" t="s">
        <v>11</v>
      </c>
      <c r="C50" s="710" t="s">
        <v>658</v>
      </c>
      <c r="D50" s="356" t="s">
        <v>659</v>
      </c>
      <c r="E50" s="356"/>
      <c r="F50" s="712" t="s">
        <v>660</v>
      </c>
    </row>
    <row r="51" spans="1:6" s="119" customFormat="1" ht="18" customHeight="1">
      <c r="A51" s="707"/>
      <c r="B51" s="709"/>
      <c r="C51" s="711"/>
      <c r="D51" s="121" t="s">
        <v>589</v>
      </c>
      <c r="E51" s="121" t="s">
        <v>590</v>
      </c>
      <c r="F51" s="71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31353</v>
      </c>
      <c r="D58" s="129">
        <f>D59+D61</f>
        <v>8852</v>
      </c>
      <c r="E58" s="127">
        <f t="shared" si="1"/>
        <v>22501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ROUND('[6]loans_short_long'!$G$43/1000,0)</f>
        <v>31353</v>
      </c>
      <c r="D59" s="188">
        <f>ROUND('[6]loans_short_long'!$G$39/1000,0)</f>
        <v>8852</v>
      </c>
      <c r="E59" s="127">
        <f t="shared" si="1"/>
        <v>22501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'1-Баланс'!G49+'[5]BS_KFN'!$C$29+'[5]BS_KFN'!$C$37</f>
        <v>14503</v>
      </c>
      <c r="D66" s="188">
        <f>D67</f>
        <v>784</v>
      </c>
      <c r="E66" s="127">
        <f t="shared" si="1"/>
        <v>13719</v>
      </c>
      <c r="F66" s="187"/>
    </row>
    <row r="67" spans="1:6" ht="15.75">
      <c r="A67" s="361" t="s">
        <v>684</v>
      </c>
      <c r="B67" s="126" t="s">
        <v>685</v>
      </c>
      <c r="C67" s="188">
        <f>'[6]BS_KPMG (2)'!$U$36+'[6]BS_KPMG (2)'!$U$44</f>
        <v>2315</v>
      </c>
      <c r="D67" s="188">
        <f>'[6]BS_KPMG (2)'!$U$44</f>
        <v>784</v>
      </c>
      <c r="E67" s="127">
        <f t="shared" si="1"/>
        <v>1531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45856</v>
      </c>
      <c r="D68" s="426">
        <f>D54+D58+D63+D64+D65+D66</f>
        <v>9636</v>
      </c>
      <c r="E68" s="427">
        <f t="shared" si="1"/>
        <v>36220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75472</v>
      </c>
      <c r="D73" s="128">
        <f>SUM(D74:D76)</f>
        <v>75472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75472</v>
      </c>
      <c r="D74" s="188">
        <f>C74</f>
        <v>75472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25590.037886744147</v>
      </c>
      <c r="D87" s="125">
        <f>SUM(D88:D92)+D96</f>
        <v>25590.037886744147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19382.037886744147</v>
      </c>
      <c r="D89" s="188">
        <f>C89</f>
        <v>19382.037886744147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3799</v>
      </c>
      <c r="D91" s="188">
        <f>C91</f>
        <v>3799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1680</v>
      </c>
      <c r="D92" s="129">
        <f>SUM(D93:D95)</f>
        <v>1680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ROUND('[5]BS'!$Y$41,0)</f>
        <v>0</v>
      </c>
      <c r="D93" s="188">
        <f>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ROUND('[5]17'!$Q$16,0)</f>
        <v>1457</v>
      </c>
      <c r="D94" s="188">
        <f>C94</f>
        <v>1457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ROUND('[5]17'!$Q$17,0)</f>
        <v>223</v>
      </c>
      <c r="D95" s="188">
        <f>C95</f>
        <v>223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729</v>
      </c>
      <c r="D96" s="188">
        <f>C96</f>
        <v>729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6563.267041426414</v>
      </c>
      <c r="D97" s="188">
        <f>C97</f>
        <v>6563.267041426414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107625.30492817056</v>
      </c>
      <c r="D98" s="424">
        <f>D87+D82+D77+D73+D97</f>
        <v>107625.30492817056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153481.30492817058</v>
      </c>
      <c r="D99" s="418">
        <f>D98+D70+D68</f>
        <v>117261.30492817056</v>
      </c>
      <c r="E99" s="418">
        <f>E98+E70+E68</f>
        <v>36220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ROUND('[6]NoteBS'!$C$107,0)</f>
        <v>3157</v>
      </c>
      <c r="D104" s="207">
        <f>ROUND('[6]NoteBS'!$D$107,0)</f>
        <v>0</v>
      </c>
      <c r="E104" s="207">
        <f>ROUND(-'[6]NoteBS'!$E$107-'[6]NoteBS'!$F$107,0)</f>
        <v>11</v>
      </c>
      <c r="F104" s="412">
        <f>C104+D104-E104</f>
        <v>3146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>
        <f>ROUND(-'[2]FInst, loans'!$C$200,0)</f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3157</v>
      </c>
      <c r="D107" s="416">
        <f>SUM(D104:D106)</f>
        <v>0</v>
      </c>
      <c r="E107" s="416">
        <f>SUM(E104:E106)</f>
        <v>11</v>
      </c>
      <c r="F107" s="417">
        <f>SUM(F104:F106)</f>
        <v>3146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3" t="s">
        <v>817</v>
      </c>
      <c r="B109" s="703"/>
      <c r="C109" s="703"/>
      <c r="D109" s="703"/>
      <c r="E109" s="703"/>
      <c r="F109" s="70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5">
        <f>pdeReportingDate</f>
        <v>42970</v>
      </c>
      <c r="C111" s="675"/>
      <c r="D111" s="675"/>
      <c r="E111" s="675"/>
      <c r="F111" s="675"/>
      <c r="G111" s="51"/>
      <c r="H111" s="51"/>
    </row>
    <row r="112" spans="1:8" ht="15.75">
      <c r="A112" s="661"/>
      <c r="B112" s="675"/>
      <c r="C112" s="675"/>
      <c r="D112" s="675"/>
      <c r="E112" s="675"/>
      <c r="F112" s="675"/>
      <c r="G112" s="51"/>
      <c r="H112" s="51"/>
    </row>
    <row r="113" spans="1:8" ht="15.75">
      <c r="A113" s="662" t="s">
        <v>8</v>
      </c>
      <c r="B113" s="676" t="str">
        <f>authorName</f>
        <v>Анелия Илиева Илиева</v>
      </c>
      <c r="C113" s="676"/>
      <c r="D113" s="676"/>
      <c r="E113" s="676"/>
      <c r="F113" s="676"/>
      <c r="G113" s="75"/>
      <c r="H113" s="75"/>
    </row>
    <row r="114" spans="1:8" ht="15.75">
      <c r="A114" s="662"/>
      <c r="B114" s="676"/>
      <c r="C114" s="676"/>
      <c r="D114" s="676"/>
      <c r="E114" s="676"/>
      <c r="F114" s="676"/>
      <c r="G114" s="75"/>
      <c r="H114" s="75"/>
    </row>
    <row r="115" spans="1:8" ht="15.75">
      <c r="A115" s="662" t="s">
        <v>894</v>
      </c>
      <c r="B115" s="677"/>
      <c r="C115" s="677"/>
      <c r="D115" s="677"/>
      <c r="E115" s="677"/>
      <c r="F115" s="677"/>
      <c r="G115" s="77"/>
      <c r="H115" s="77"/>
    </row>
    <row r="116" spans="1:8" ht="15.75" customHeight="1">
      <c r="A116" s="663"/>
      <c r="B116" s="673" t="s">
        <v>965</v>
      </c>
      <c r="C116" s="673"/>
      <c r="D116" s="673"/>
      <c r="E116" s="673"/>
      <c r="F116" s="673"/>
      <c r="G116" s="663"/>
      <c r="H116" s="663"/>
    </row>
    <row r="117" spans="1:8" ht="15.75" customHeight="1">
      <c r="A117" s="663"/>
      <c r="B117" s="673" t="s">
        <v>952</v>
      </c>
      <c r="C117" s="673"/>
      <c r="D117" s="673"/>
      <c r="E117" s="673"/>
      <c r="F117" s="673"/>
      <c r="G117" s="663"/>
      <c r="H117" s="663"/>
    </row>
    <row r="118" spans="1:8" ht="15.75" customHeight="1">
      <c r="A118" s="663"/>
      <c r="B118" s="702"/>
      <c r="C118" s="673"/>
      <c r="D118" s="673"/>
      <c r="E118" s="673"/>
      <c r="F118" s="673"/>
      <c r="G118" s="663"/>
      <c r="H118" s="663"/>
    </row>
    <row r="119" spans="1:8" ht="15.75" customHeight="1">
      <c r="A119" s="669"/>
      <c r="B119" s="702"/>
      <c r="C119" s="673"/>
      <c r="D119" s="673"/>
      <c r="E119" s="673"/>
      <c r="F119" s="673"/>
      <c r="G119" s="663"/>
      <c r="H119" s="663"/>
    </row>
    <row r="120" spans="1:8" ht="15.75">
      <c r="A120" s="669"/>
      <c r="B120" s="702"/>
      <c r="C120" s="673"/>
      <c r="D120" s="673"/>
      <c r="E120" s="673"/>
      <c r="F120" s="673"/>
      <c r="G120" s="663"/>
      <c r="H120" s="663"/>
    </row>
    <row r="121" spans="1:8" ht="15.75">
      <c r="A121" s="668"/>
      <c r="B121" s="702"/>
      <c r="C121" s="673"/>
      <c r="D121" s="673"/>
      <c r="E121" s="673"/>
      <c r="F121" s="673"/>
      <c r="G121" s="663"/>
      <c r="H121" s="663"/>
    </row>
    <row r="122" spans="1:8" ht="15.75">
      <c r="A122" s="663"/>
      <c r="B122" s="673"/>
      <c r="C122" s="673"/>
      <c r="D122" s="673"/>
      <c r="E122" s="673"/>
      <c r="F122" s="673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4" t="s">
        <v>453</v>
      </c>
      <c r="B8" s="719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5"/>
      <c r="B9" s="720"/>
      <c r="C9" s="717" t="s">
        <v>756</v>
      </c>
      <c r="D9" s="717" t="s">
        <v>757</v>
      </c>
      <c r="E9" s="717" t="s">
        <v>758</v>
      </c>
      <c r="F9" s="717" t="s">
        <v>759</v>
      </c>
      <c r="G9" s="104" t="s">
        <v>760</v>
      </c>
      <c r="H9" s="104"/>
      <c r="I9" s="718" t="s">
        <v>818</v>
      </c>
    </row>
    <row r="10" spans="1:9" s="103" customFormat="1" ht="24" customHeight="1">
      <c r="A10" s="715"/>
      <c r="B10" s="720"/>
      <c r="C10" s="717"/>
      <c r="D10" s="717"/>
      <c r="E10" s="717"/>
      <c r="F10" s="717"/>
      <c r="G10" s="106" t="s">
        <v>516</v>
      </c>
      <c r="H10" s="106" t="s">
        <v>517</v>
      </c>
      <c r="I10" s="718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6" t="s">
        <v>819</v>
      </c>
      <c r="B29" s="716"/>
      <c r="C29" s="716"/>
      <c r="D29" s="716"/>
      <c r="E29" s="716"/>
      <c r="F29" s="716"/>
      <c r="G29" s="716"/>
      <c r="H29" s="716"/>
      <c r="I29" s="716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5">
        <f>pdeReportingDate</f>
        <v>42970</v>
      </c>
      <c r="C31" s="675"/>
      <c r="D31" s="675"/>
      <c r="E31" s="675"/>
      <c r="F31" s="675"/>
      <c r="G31" s="115"/>
      <c r="H31" s="115"/>
      <c r="I31" s="115"/>
    </row>
    <row r="32" spans="1:9" s="107" customFormat="1" ht="15.75">
      <c r="A32" s="661"/>
      <c r="B32" s="675"/>
      <c r="C32" s="675"/>
      <c r="D32" s="675"/>
      <c r="E32" s="675"/>
      <c r="F32" s="675"/>
      <c r="G32" s="115"/>
      <c r="H32" s="115"/>
      <c r="I32" s="115"/>
    </row>
    <row r="33" spans="1:9" s="107" customFormat="1" ht="15.75">
      <c r="A33" s="662" t="s">
        <v>8</v>
      </c>
      <c r="B33" s="676" t="str">
        <f>authorName</f>
        <v>Анелия Илиева Илиева</v>
      </c>
      <c r="C33" s="676"/>
      <c r="D33" s="676"/>
      <c r="E33" s="676"/>
      <c r="F33" s="676"/>
      <c r="G33" s="115"/>
      <c r="H33" s="115"/>
      <c r="I33" s="115"/>
    </row>
    <row r="34" spans="1:9" s="107" customFormat="1" ht="15.75">
      <c r="A34" s="662"/>
      <c r="B34" s="721"/>
      <c r="C34" s="721"/>
      <c r="D34" s="721"/>
      <c r="E34" s="721"/>
      <c r="F34" s="721"/>
      <c r="G34" s="721"/>
      <c r="H34" s="721"/>
      <c r="I34" s="721"/>
    </row>
    <row r="35" spans="1:9" s="107" customFormat="1" ht="15.75">
      <c r="A35" s="662" t="s">
        <v>894</v>
      </c>
      <c r="B35" s="722"/>
      <c r="C35" s="722"/>
      <c r="D35" s="722"/>
      <c r="E35" s="722"/>
      <c r="F35" s="722"/>
      <c r="G35" s="722"/>
      <c r="H35" s="722"/>
      <c r="I35" s="722"/>
    </row>
    <row r="36" spans="1:9" s="107" customFormat="1" ht="15.75" customHeight="1">
      <c r="A36" s="663"/>
      <c r="B36" s="673" t="s">
        <v>965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3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3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3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3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3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3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376981</v>
      </c>
      <c r="D6" s="644">
        <f aca="true" t="shared" si="0" ref="D6:D15">C6-E6</f>
        <v>-0.037378170527517796</v>
      </c>
      <c r="E6" s="643">
        <f>'1-Баланс'!G95</f>
        <v>376981.0373781705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220354</v>
      </c>
      <c r="D7" s="644">
        <f t="shared" si="0"/>
        <v>211470</v>
      </c>
      <c r="E7" s="643">
        <f>'1-Баланс'!G18</f>
        <v>8884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14876</v>
      </c>
      <c r="D8" s="644">
        <f t="shared" si="0"/>
        <v>0</v>
      </c>
      <c r="E8" s="643">
        <f>ABS('2-Отчет за доходите'!C44)-ABS('2-Отчет за доходите'!G44)</f>
        <v>14876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17496.18316</v>
      </c>
      <c r="D9" s="644">
        <f t="shared" si="0"/>
        <v>0.2565720000056899</v>
      </c>
      <c r="E9" s="643">
        <f>'3-Отчет за паричния поток'!C45</f>
        <v>17495.926587999995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25739</v>
      </c>
      <c r="D10" s="644">
        <f t="shared" si="0"/>
        <v>0.07341200000519166</v>
      </c>
      <c r="E10" s="643">
        <f>'3-Отчет за паричния поток'!C46</f>
        <v>25738.926587999995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220354</v>
      </c>
      <c r="D11" s="644">
        <f t="shared" si="0"/>
        <v>0</v>
      </c>
      <c r="E11" s="643">
        <f>'4-Отчет за собствения капитал'!L34</f>
        <v>220354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Справки, годишни и шестмесечни на консолидирана основа към 30.06.2017</dc:title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2017-08-21T05:07:42Z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Ye">
    <vt:lpwstr>2017</vt:lpwstr>
  </property>
  <property fmtid="{D5CDD505-2E9C-101B-9397-08002B2CF9AE}" pid="4" name="ContentTy">
    <vt:lpwstr>Document</vt:lpwstr>
  </property>
  <property fmtid="{D5CDD505-2E9C-101B-9397-08002B2CF9AE}" pid="5" name="DocDescripti">
    <vt:lpwstr>Справки, годишни и шестмесечни на консолидирана основа към 30.06.2017</vt:lpwstr>
  </property>
  <property fmtid="{D5CDD505-2E9C-101B-9397-08002B2CF9AE}" pid="6" name="Catego">
    <vt:lpwstr>6</vt:lpwstr>
  </property>
  <property fmtid="{D5CDD505-2E9C-101B-9397-08002B2CF9AE}" pid="7" name="Subcatego">
    <vt:lpwstr>Второ тримесечие</vt:lpwstr>
  </property>
</Properties>
</file>